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firstSheet="2" activeTab="2"/>
  </bookViews>
  <sheets>
    <sheet name="Лист6" sheetId="1" r:id="rId1"/>
    <sheet name="Лист5" sheetId="2" r:id="rId2"/>
    <sheet name="Лист1" sheetId="3" r:id="rId3"/>
    <sheet name="Лист12" sheetId="4" r:id="rId4"/>
    <sheet name="Лист3" sheetId="5" r:id="rId5"/>
  </sheets>
  <definedNames>
    <definedName name="_xlnm.Print_Area" localSheetId="3">'Лист12'!$A$1:$CX$39</definedName>
    <definedName name="_xlnm.Print_Area" localSheetId="4">'Лист3'!$A$1:$DC$79</definedName>
  </definedNames>
  <calcPr fullCalcOnLoad="1"/>
</workbook>
</file>

<file path=xl/sharedStrings.xml><?xml version="1.0" encoding="utf-8"?>
<sst xmlns="http://schemas.openxmlformats.org/spreadsheetml/2006/main" count="513" uniqueCount="165">
  <si>
    <t>Назва шкіл</t>
  </si>
  <si>
    <t>кількість класів</t>
  </si>
  <si>
    <t>кількість комплектів</t>
  </si>
  <si>
    <t>в них учнів</t>
  </si>
  <si>
    <t>Завгосп   розряд 8</t>
  </si>
  <si>
    <t>Секретар-машиністка розряд 5</t>
  </si>
  <si>
    <t>Лаборант розряд 4</t>
  </si>
  <si>
    <t>Робітник по біжучому ремонту розряд 2</t>
  </si>
  <si>
    <t>Двірник розряд 1</t>
  </si>
  <si>
    <t>Кочегар на рік розряд 3</t>
  </si>
  <si>
    <t>Опалювач розряд 1</t>
  </si>
  <si>
    <t>Сторож розряд 1         +40%</t>
  </si>
  <si>
    <t>Кухар розряд 3             +10%</t>
  </si>
  <si>
    <t>Підсобний робітник розряд 2          +10%</t>
  </si>
  <si>
    <t>Комірник розряд 2</t>
  </si>
  <si>
    <t>Медсестра розряд 6</t>
  </si>
  <si>
    <t>Прибиральниця службових приміщень  розряд 2         +10%</t>
  </si>
  <si>
    <t>Майстер по пранню спецодягу розряд 2           +12%</t>
  </si>
  <si>
    <t>Помічник вихователя розряд 6           +10%</t>
  </si>
  <si>
    <t>Сухинська ЗОШ  І ст.</t>
  </si>
  <si>
    <t>Разом по ЗОШ   І ст.</t>
  </si>
  <si>
    <t>Білоцерківська ЗОШ І-ІІ ст.</t>
  </si>
  <si>
    <t>Бригинцівська</t>
  </si>
  <si>
    <t>Горбачівський НВК</t>
  </si>
  <si>
    <t xml:space="preserve">Кобижчанська </t>
  </si>
  <si>
    <t>Макарівська</t>
  </si>
  <si>
    <t>Новобасанська №2</t>
  </si>
  <si>
    <t>Петрівська</t>
  </si>
  <si>
    <t>Старобиківський НВК</t>
  </si>
  <si>
    <t>Разом по ЗОШ   І-ІІ ст.</t>
  </si>
  <si>
    <t>Бобровицька гімназія</t>
  </si>
  <si>
    <t>Бобровицька ЗОШ І-ІІІ ст. №1</t>
  </si>
  <si>
    <t>Бобровицька ЗОШ І-ІІІ ст. №2</t>
  </si>
  <si>
    <t>Разом ЗОШ по місту</t>
  </si>
  <si>
    <t>Браницька</t>
  </si>
  <si>
    <t>Вороньківська</t>
  </si>
  <si>
    <t>Козацький НВК</t>
  </si>
  <si>
    <t>Марківецька</t>
  </si>
  <si>
    <t>Новобасанська</t>
  </si>
  <si>
    <t>Новобиківська</t>
  </si>
  <si>
    <t>Озерянська</t>
  </si>
  <si>
    <t>Олександрівський НВК</t>
  </si>
  <si>
    <t>Пісківська</t>
  </si>
  <si>
    <t>Рудьківська</t>
  </si>
  <si>
    <t>Свидовецький НВК</t>
  </si>
  <si>
    <t>Старобасанська</t>
  </si>
  <si>
    <t>Ярославська</t>
  </si>
  <si>
    <t>Разом по ЗОШ   І-ІІІ ст.</t>
  </si>
  <si>
    <t>Разом по району</t>
  </si>
  <si>
    <t>Кочегар на сезон       розряд 2</t>
  </si>
  <si>
    <t>Мирненська ЗОШ І ст.</t>
  </si>
  <si>
    <t>Сухинська ЗОШ І ст.</t>
  </si>
  <si>
    <t>Разом по ЗОШ І ст.</t>
  </si>
  <si>
    <t>Н.Басанський НВК №1</t>
  </si>
  <si>
    <t>Разом по ЗОШ І-ІІ ст.</t>
  </si>
  <si>
    <t>Бобровицька ЗОШ І-ІІІ ст.№1</t>
  </si>
  <si>
    <t>Бобровицька ЗОШ І-ІІІ ст.№2</t>
  </si>
  <si>
    <t>Разом по ЗОШ міста</t>
  </si>
  <si>
    <t>Разом ЗОШ І-ІІІ ст. села</t>
  </si>
  <si>
    <t>По району</t>
  </si>
  <si>
    <t>Бригінцівська ЗОШ І-ІІ ст.</t>
  </si>
  <si>
    <t>Кобижчанська ЗОШ І-ІІ ст.</t>
  </si>
  <si>
    <t>Макарівська ЗОШ І-ІІ ст.</t>
  </si>
  <si>
    <t>Осокорівська  ЗОШ І-ІІ ст.</t>
  </si>
  <si>
    <t>Петрівська ЗОШ І-ІІ ст.</t>
  </si>
  <si>
    <t>Щаснівська  ЗОШ І-ІІ ст.</t>
  </si>
  <si>
    <t>Браницька ЗОШ І-ІІІ ст.</t>
  </si>
  <si>
    <t>Веприцька ЗОШ І-ІІІ ст.</t>
  </si>
  <si>
    <t>Вороньківська ЗОШ І-ІІІ ст.</t>
  </si>
  <si>
    <t>Кобижчанська ЗОШ І-ІІІ ст.</t>
  </si>
  <si>
    <t>Марковецька ЗОШ І-ІІІ ст.</t>
  </si>
  <si>
    <t>Новобасанська ЗОШ І-ІІІ ст.</t>
  </si>
  <si>
    <t>Новобиківська ЗОШ І-ІІІ ст.</t>
  </si>
  <si>
    <t>Озерянська ЗОШ І-ІІІ ст.</t>
  </si>
  <si>
    <t>Пісківська ЗОШ І-ІІІ ст.</t>
  </si>
  <si>
    <t>Рудьківська ЗОШ І-ІІІ ст.</t>
  </si>
  <si>
    <t>Старобасанська ЗОШ І-ІІІ ст.</t>
  </si>
  <si>
    <t>Ярославська ЗОШ І-ІІІ ст.</t>
  </si>
  <si>
    <t>класів</t>
  </si>
  <si>
    <t>кл. комп.</t>
  </si>
  <si>
    <t>учнів</t>
  </si>
  <si>
    <t>к-сть ГПД</t>
  </si>
  <si>
    <t>Директор</t>
  </si>
  <si>
    <t>шт.од.</t>
  </si>
  <si>
    <t>шт. од.</t>
  </si>
  <si>
    <t>пос. окл.</t>
  </si>
  <si>
    <t>стаж</t>
  </si>
  <si>
    <t>ФОП</t>
  </si>
  <si>
    <t>Заст.директора</t>
  </si>
  <si>
    <t>Педагог-організатор</t>
  </si>
  <si>
    <t>Бібліотекар</t>
  </si>
  <si>
    <t>Практичний психолог</t>
  </si>
  <si>
    <t>Соціальний педагог</t>
  </si>
  <si>
    <t>Муз.керівник</t>
  </si>
  <si>
    <t>Всього</t>
  </si>
  <si>
    <t>ФОП на місяць</t>
  </si>
  <si>
    <t>роз.</t>
  </si>
  <si>
    <t>Н.Басанська  І-ІІ ст.№2</t>
  </si>
  <si>
    <t>Вихователі ГПД</t>
  </si>
  <si>
    <t>Районний бюджет</t>
  </si>
  <si>
    <t>нічні кочегари</t>
  </si>
  <si>
    <t xml:space="preserve">Всього </t>
  </si>
  <si>
    <t>ФОП по розр.</t>
  </si>
  <si>
    <t>пед.зарплата</t>
  </si>
  <si>
    <t>за звання</t>
  </si>
  <si>
    <t>Сільський бюджет</t>
  </si>
  <si>
    <t>"Веселка"</t>
  </si>
  <si>
    <t>"Барвінок"</t>
  </si>
  <si>
    <t>"Сонечко"</t>
  </si>
  <si>
    <t>"Золотий ключик"</t>
  </si>
  <si>
    <t>"Казка"</t>
  </si>
  <si>
    <t>"Малятко"</t>
  </si>
  <si>
    <t>"Лісова казка"</t>
  </si>
  <si>
    <t>"Дзвіночок"</t>
  </si>
  <si>
    <t>"Яблунька"</t>
  </si>
  <si>
    <t>Дитячі садки</t>
  </si>
  <si>
    <t>Всього по д/с</t>
  </si>
  <si>
    <t>од</t>
  </si>
  <si>
    <t>фоп</t>
  </si>
  <si>
    <t>ЗФОП</t>
  </si>
  <si>
    <t>од.</t>
  </si>
  <si>
    <t>роз</t>
  </si>
  <si>
    <t>Відомість МОП із доплатами з 1 листопада 2009 року</t>
  </si>
  <si>
    <t>рррр</t>
  </si>
  <si>
    <t>Зведена відомість штатних одиниць адмін-управлінського персоналу з 1.09.2011 року</t>
  </si>
  <si>
    <t>% за стаж</t>
  </si>
  <si>
    <t>сума за стаж</t>
  </si>
  <si>
    <t>Вихователі НВК</t>
  </si>
  <si>
    <t>по окладу</t>
  </si>
  <si>
    <t>% за звання</t>
  </si>
  <si>
    <t xml:space="preserve">сума за звання </t>
  </si>
  <si>
    <t xml:space="preserve">ФОП </t>
  </si>
  <si>
    <t>за стаж</t>
  </si>
  <si>
    <t>з 1 січня</t>
  </si>
  <si>
    <t xml:space="preserve">по окладу </t>
  </si>
  <si>
    <t>Водій  розряд 3</t>
  </si>
  <si>
    <t>інженер -електронік  7 р.</t>
  </si>
  <si>
    <t>15</t>
  </si>
  <si>
    <t>з 1 вересня 2013</t>
  </si>
  <si>
    <t>18</t>
  </si>
  <si>
    <t>січень-серпень</t>
  </si>
  <si>
    <t>10-20%</t>
  </si>
  <si>
    <t xml:space="preserve"> </t>
  </si>
  <si>
    <t>всього</t>
  </si>
  <si>
    <t>електромонтер, 2 р.</t>
  </si>
  <si>
    <t>р-д</t>
  </si>
  <si>
    <t xml:space="preserve">разом </t>
  </si>
  <si>
    <t xml:space="preserve">             з 1  вересня    2017 року </t>
  </si>
  <si>
    <t>допл. До мін</t>
  </si>
  <si>
    <t>допл до мін</t>
  </si>
  <si>
    <t>доплата до мінімальної</t>
  </si>
  <si>
    <t>з 1 вересня      2017</t>
  </si>
  <si>
    <t>3</t>
  </si>
  <si>
    <t>5</t>
  </si>
  <si>
    <t>2</t>
  </si>
  <si>
    <t>4</t>
  </si>
  <si>
    <t>заробітна плата з нарахуваннями педпрацівників (освітня субвенція)</t>
  </si>
  <si>
    <t>заробітна плата з нарахуваннями  молодшо-обслуговуючого персоналу (Місцевий бюджет)</t>
  </si>
  <si>
    <t>витрати на харчування</t>
  </si>
  <si>
    <t>оплата комунальних послуг</t>
  </si>
  <si>
    <t>придбання предметів і матеріалів</t>
  </si>
  <si>
    <t>оплата інших послуг на утримання школи</t>
  </si>
  <si>
    <t>Всього витрати</t>
  </si>
  <si>
    <t xml:space="preserve">видатки на відрядження </t>
  </si>
  <si>
    <t>Видатки по школах станом на 01.11.2017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</si>
</sst>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_р_."/>
    <numFmt numFmtId="173" formatCode="0.0000"/>
    <numFmt numFmtId="174" formatCode="0.000"/>
    <numFmt numFmtId="175" formatCode="0.0"/>
    <numFmt numFmtId="176" formatCode="0.00000"/>
  </numFmts>
  <fonts count="67">
    <font>
      <sz val="10"/>
      <name val="Arial Cyr"/>
      <family val="0"/>
    </font>
    <font>
      <b/>
      <i/>
      <sz val="1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i/>
      <sz val="24"/>
      <name val="Arial Cyr"/>
      <family val="0"/>
    </font>
    <font>
      <sz val="20"/>
      <name val="Arial Cyr"/>
      <family val="0"/>
    </font>
    <font>
      <b/>
      <i/>
      <sz val="20"/>
      <name val="Arial Cyr"/>
      <family val="0"/>
    </font>
    <font>
      <i/>
      <sz val="2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b/>
      <sz val="24"/>
      <name val="Arial Cyr"/>
      <family val="0"/>
    </font>
    <font>
      <b/>
      <i/>
      <sz val="2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b/>
      <i/>
      <sz val="20"/>
      <color indexed="9"/>
      <name val="Arial"/>
      <family val="2"/>
    </font>
    <font>
      <sz val="24"/>
      <name val="Arial"/>
      <family val="2"/>
    </font>
    <font>
      <sz val="20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b/>
      <i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textRotation="90" wrapText="1"/>
    </xf>
    <xf numFmtId="0" fontId="5" fillId="35" borderId="0" xfId="0" applyNumberFormat="1" applyFont="1" applyFill="1" applyAlignment="1">
      <alignment wrapText="1"/>
    </xf>
    <xf numFmtId="0" fontId="5" fillId="35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5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NumberFormat="1" applyFont="1" applyFill="1" applyBorder="1" applyAlignment="1">
      <alignment horizontal="center" wrapText="1"/>
    </xf>
    <xf numFmtId="49" fontId="5" fillId="35" borderId="0" xfId="0" applyNumberFormat="1" applyFont="1" applyFill="1" applyAlignment="1">
      <alignment wrapText="1"/>
    </xf>
    <xf numFmtId="0" fontId="5" fillId="35" borderId="0" xfId="0" applyNumberFormat="1" applyFont="1" applyFill="1" applyAlignment="1">
      <alignment horizontal="center" wrapText="1"/>
    </xf>
    <xf numFmtId="0" fontId="10" fillId="35" borderId="10" xfId="0" applyNumberFormat="1" applyFont="1" applyFill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9" fillId="36" borderId="10" xfId="0" applyNumberFormat="1" applyFont="1" applyFill="1" applyBorder="1" applyAlignment="1">
      <alignment wrapText="1"/>
    </xf>
    <xf numFmtId="0" fontId="10" fillId="35" borderId="11" xfId="0" applyNumberFormat="1" applyFont="1" applyFill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35" borderId="10" xfId="0" applyNumberFormat="1" applyFont="1" applyFill="1" applyBorder="1" applyAlignment="1">
      <alignment wrapText="1"/>
    </xf>
    <xf numFmtId="0" fontId="9" fillId="37" borderId="10" xfId="0" applyNumberFormat="1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36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37" borderId="10" xfId="0" applyNumberFormat="1" applyFont="1" applyFill="1" applyBorder="1" applyAlignment="1">
      <alignment wrapText="1"/>
    </xf>
    <xf numFmtId="0" fontId="10" fillId="37" borderId="10" xfId="0" applyFont="1" applyFill="1" applyBorder="1" applyAlignment="1">
      <alignment/>
    </xf>
    <xf numFmtId="0" fontId="10" fillId="37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2" fontId="15" fillId="35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35" borderId="10" xfId="0" applyFont="1" applyFill="1" applyBorder="1" applyAlignment="1">
      <alignment/>
    </xf>
    <xf numFmtId="0" fontId="22" fillId="35" borderId="0" xfId="0" applyFont="1" applyFill="1" applyAlignment="1">
      <alignment/>
    </xf>
    <xf numFmtId="0" fontId="22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 wrapText="1"/>
    </xf>
    <xf numFmtId="0" fontId="2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9" fontId="5" fillId="35" borderId="10" xfId="0" applyNumberFormat="1" applyFont="1" applyFill="1" applyBorder="1" applyAlignment="1">
      <alignment wrapText="1"/>
    </xf>
    <xf numFmtId="2" fontId="5" fillId="35" borderId="10" xfId="0" applyNumberFormat="1" applyFont="1" applyFill="1" applyBorder="1" applyAlignment="1">
      <alignment wrapText="1"/>
    </xf>
    <xf numFmtId="0" fontId="3" fillId="35" borderId="10" xfId="0" applyNumberFormat="1" applyFont="1" applyFill="1" applyBorder="1" applyAlignment="1">
      <alignment wrapText="1"/>
    </xf>
    <xf numFmtId="0" fontId="3" fillId="35" borderId="0" xfId="0" applyNumberFormat="1" applyFont="1" applyFill="1" applyAlignment="1">
      <alignment wrapText="1"/>
    </xf>
    <xf numFmtId="2" fontId="3" fillId="35" borderId="10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horizontal="center"/>
    </xf>
    <xf numFmtId="2" fontId="16" fillId="38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175" fontId="16" fillId="33" borderId="10" xfId="0" applyNumberFormat="1" applyFont="1" applyFill="1" applyBorder="1" applyAlignment="1">
      <alignment horizontal="center"/>
    </xf>
    <xf numFmtId="175" fontId="16" fillId="38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2" fontId="20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wrapText="1"/>
    </xf>
    <xf numFmtId="0" fontId="7" fillId="35" borderId="10" xfId="0" applyNumberFormat="1" applyFont="1" applyFill="1" applyBorder="1" applyAlignment="1">
      <alignment wrapText="1"/>
    </xf>
    <xf numFmtId="1" fontId="5" fillId="35" borderId="10" xfId="0" applyNumberFormat="1" applyFont="1" applyFill="1" applyBorder="1" applyAlignment="1">
      <alignment wrapText="1"/>
    </xf>
    <xf numFmtId="0" fontId="24" fillId="35" borderId="10" xfId="0" applyFont="1" applyFill="1" applyBorder="1" applyAlignment="1">
      <alignment/>
    </xf>
    <xf numFmtId="0" fontId="25" fillId="35" borderId="10" xfId="0" applyNumberFormat="1" applyFont="1" applyFill="1" applyBorder="1" applyAlignment="1">
      <alignment wrapText="1"/>
    </xf>
    <xf numFmtId="0" fontId="7" fillId="39" borderId="10" xfId="0" applyNumberFormat="1" applyFont="1" applyFill="1" applyBorder="1" applyAlignment="1">
      <alignment wrapText="1"/>
    </xf>
    <xf numFmtId="0" fontId="6" fillId="39" borderId="10" xfId="0" applyNumberFormat="1" applyFont="1" applyFill="1" applyBorder="1" applyAlignment="1">
      <alignment wrapText="1"/>
    </xf>
    <xf numFmtId="2" fontId="6" fillId="39" borderId="10" xfId="0" applyNumberFormat="1" applyFont="1" applyFill="1" applyBorder="1" applyAlignment="1">
      <alignment wrapText="1"/>
    </xf>
    <xf numFmtId="0" fontId="7" fillId="39" borderId="0" xfId="0" applyNumberFormat="1" applyFont="1" applyFill="1" applyAlignment="1">
      <alignment wrapText="1"/>
    </xf>
    <xf numFmtId="0" fontId="6" fillId="39" borderId="0" xfId="0" applyNumberFormat="1" applyFont="1" applyFill="1" applyAlignment="1">
      <alignment wrapText="1"/>
    </xf>
    <xf numFmtId="0" fontId="15" fillId="39" borderId="10" xfId="0" applyNumberFormat="1" applyFont="1" applyFill="1" applyBorder="1" applyAlignment="1">
      <alignment wrapText="1"/>
    </xf>
    <xf numFmtId="0" fontId="4" fillId="39" borderId="10" xfId="0" applyNumberFormat="1" applyFont="1" applyFill="1" applyBorder="1" applyAlignment="1">
      <alignment wrapText="1"/>
    </xf>
    <xf numFmtId="175" fontId="15" fillId="39" borderId="10" xfId="0" applyNumberFormat="1" applyFont="1" applyFill="1" applyBorder="1" applyAlignment="1">
      <alignment wrapText="1"/>
    </xf>
    <xf numFmtId="2" fontId="15" fillId="39" borderId="10" xfId="0" applyNumberFormat="1" applyFont="1" applyFill="1" applyBorder="1" applyAlignment="1">
      <alignment wrapText="1"/>
    </xf>
    <xf numFmtId="0" fontId="15" fillId="39" borderId="10" xfId="0" applyNumberFormat="1" applyFont="1" applyFill="1" applyBorder="1" applyAlignment="1">
      <alignment horizontal="center" wrapText="1"/>
    </xf>
    <xf numFmtId="0" fontId="15" fillId="39" borderId="0" xfId="0" applyNumberFormat="1" applyFont="1" applyFill="1" applyAlignment="1">
      <alignment wrapText="1"/>
    </xf>
    <xf numFmtId="9" fontId="1" fillId="0" borderId="10" xfId="0" applyNumberFormat="1" applyFont="1" applyBorder="1" applyAlignment="1">
      <alignment/>
    </xf>
    <xf numFmtId="0" fontId="5" fillId="35" borderId="14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6" fillId="34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28" fillId="35" borderId="10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12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40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0" fontId="5" fillId="40" borderId="10" xfId="0" applyNumberFormat="1" applyFont="1" applyFill="1" applyBorder="1" applyAlignment="1">
      <alignment horizontal="center" wrapText="1"/>
    </xf>
    <xf numFmtId="9" fontId="5" fillId="40" borderId="10" xfId="0" applyNumberFormat="1" applyFont="1" applyFill="1" applyBorder="1" applyAlignment="1">
      <alignment wrapText="1"/>
    </xf>
    <xf numFmtId="0" fontId="3" fillId="40" borderId="10" xfId="0" applyNumberFormat="1" applyFont="1" applyFill="1" applyBorder="1" applyAlignment="1">
      <alignment wrapText="1"/>
    </xf>
    <xf numFmtId="0" fontId="25" fillId="40" borderId="10" xfId="0" applyNumberFormat="1" applyFont="1" applyFill="1" applyBorder="1" applyAlignment="1">
      <alignment wrapText="1"/>
    </xf>
    <xf numFmtId="2" fontId="5" fillId="40" borderId="10" xfId="0" applyNumberFormat="1" applyFont="1" applyFill="1" applyBorder="1" applyAlignment="1">
      <alignment wrapText="1"/>
    </xf>
    <xf numFmtId="2" fontId="3" fillId="40" borderId="10" xfId="0" applyNumberFormat="1" applyFont="1" applyFill="1" applyBorder="1" applyAlignment="1">
      <alignment wrapText="1"/>
    </xf>
    <xf numFmtId="0" fontId="5" fillId="40" borderId="0" xfId="0" applyNumberFormat="1" applyFont="1" applyFill="1" applyAlignment="1">
      <alignment wrapText="1"/>
    </xf>
    <xf numFmtId="0" fontId="7" fillId="40" borderId="10" xfId="0" applyNumberFormat="1" applyFont="1" applyFill="1" applyBorder="1" applyAlignment="1">
      <alignment wrapText="1"/>
    </xf>
    <xf numFmtId="0" fontId="5" fillId="41" borderId="10" xfId="0" applyNumberFormat="1" applyFont="1" applyFill="1" applyBorder="1" applyAlignment="1">
      <alignment wrapText="1"/>
    </xf>
    <xf numFmtId="1" fontId="5" fillId="40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horizontal="center" wrapText="1"/>
    </xf>
    <xf numFmtId="174" fontId="5" fillId="40" borderId="10" xfId="0" applyNumberFormat="1" applyFont="1" applyFill="1" applyBorder="1" applyAlignment="1">
      <alignment wrapText="1"/>
    </xf>
    <xf numFmtId="0" fontId="5" fillId="40" borderId="10" xfId="0" applyNumberFormat="1" applyFont="1" applyFill="1" applyBorder="1" applyAlignment="1">
      <alignment horizontal="right" wrapText="1"/>
    </xf>
    <xf numFmtId="0" fontId="5" fillId="40" borderId="15" xfId="0" applyNumberFormat="1" applyFont="1" applyFill="1" applyBorder="1" applyAlignment="1">
      <alignment wrapText="1"/>
    </xf>
    <xf numFmtId="0" fontId="5" fillId="40" borderId="11" xfId="0" applyNumberFormat="1" applyFont="1" applyFill="1" applyBorder="1" applyAlignment="1">
      <alignment horizontal="center" wrapText="1"/>
    </xf>
    <xf numFmtId="0" fontId="5" fillId="40" borderId="11" xfId="0" applyNumberFormat="1" applyFont="1" applyFill="1" applyBorder="1" applyAlignment="1">
      <alignment horizontal="center" wrapText="1"/>
    </xf>
    <xf numFmtId="0" fontId="5" fillId="40" borderId="11" xfId="0" applyNumberFormat="1" applyFont="1" applyFill="1" applyBorder="1" applyAlignment="1">
      <alignment wrapText="1"/>
    </xf>
    <xf numFmtId="49" fontId="5" fillId="40" borderId="11" xfId="0" applyNumberFormat="1" applyFont="1" applyFill="1" applyBorder="1" applyAlignment="1">
      <alignment horizontal="center" wrapText="1"/>
    </xf>
    <xf numFmtId="9" fontId="5" fillId="40" borderId="11" xfId="0" applyNumberFormat="1" applyFont="1" applyFill="1" applyBorder="1" applyAlignment="1">
      <alignment wrapText="1"/>
    </xf>
    <xf numFmtId="0" fontId="7" fillId="40" borderId="11" xfId="0" applyNumberFormat="1" applyFont="1" applyFill="1" applyBorder="1" applyAlignment="1">
      <alignment wrapText="1"/>
    </xf>
    <xf numFmtId="0" fontId="5" fillId="40" borderId="0" xfId="0" applyNumberFormat="1" applyFont="1" applyFill="1" applyBorder="1" applyAlignment="1">
      <alignment wrapText="1"/>
    </xf>
    <xf numFmtId="0" fontId="66" fillId="40" borderId="10" xfId="0" applyNumberFormat="1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11" fillId="0" borderId="15" xfId="0" applyNumberFormat="1" applyFont="1" applyBorder="1" applyAlignment="1">
      <alignment horizontal="center" wrapText="1"/>
    </xf>
    <xf numFmtId="9" fontId="11" fillId="0" borderId="11" xfId="0" applyNumberFormat="1" applyFont="1" applyBorder="1" applyAlignment="1">
      <alignment horizontal="center" wrapText="1"/>
    </xf>
    <xf numFmtId="9" fontId="11" fillId="0" borderId="15" xfId="0" applyNumberFormat="1" applyFont="1" applyBorder="1" applyAlignment="1">
      <alignment horizontal="center"/>
    </xf>
    <xf numFmtId="9" fontId="11" fillId="0" borderId="1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7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3" fillId="35" borderId="0" xfId="0" applyNumberFormat="1" applyFont="1" applyFill="1" applyAlignment="1">
      <alignment horizontal="center" wrapText="1"/>
    </xf>
    <xf numFmtId="0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 wrapText="1"/>
    </xf>
    <xf numFmtId="0" fontId="5" fillId="40" borderId="15" xfId="0" applyNumberFormat="1" applyFont="1" applyFill="1" applyBorder="1" applyAlignment="1">
      <alignment horizontal="center" wrapText="1"/>
    </xf>
    <xf numFmtId="0" fontId="5" fillId="40" borderId="11" xfId="0" applyNumberFormat="1" applyFont="1" applyFill="1" applyBorder="1" applyAlignment="1">
      <alignment horizontal="center" wrapText="1"/>
    </xf>
    <xf numFmtId="0" fontId="5" fillId="35" borderId="15" xfId="0" applyNumberFormat="1" applyFont="1" applyFill="1" applyBorder="1" applyAlignment="1">
      <alignment horizontal="center" wrapText="1"/>
    </xf>
    <xf numFmtId="0" fontId="5" fillId="35" borderId="14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0" sqref="A10:IV10"/>
    </sheetView>
  </sheetViews>
  <sheetFormatPr defaultColWidth="9.00390625" defaultRowHeight="19.5" customHeight="1"/>
  <cols>
    <col min="1" max="1" width="33.00390625" style="24" customWidth="1"/>
    <col min="2" max="2" width="9.125" style="24" customWidth="1"/>
    <col min="3" max="3" width="13.125" style="24" customWidth="1"/>
    <col min="4" max="4" width="10.125" style="24" customWidth="1"/>
    <col min="5" max="5" width="12.375" style="24" customWidth="1"/>
    <col min="6" max="9" width="9.125" style="24" customWidth="1"/>
    <col min="10" max="10" width="12.00390625" style="24" customWidth="1"/>
    <col min="11" max="11" width="9.125" style="24" customWidth="1"/>
    <col min="12" max="12" width="13.125" style="24" customWidth="1"/>
    <col min="13" max="13" width="14.875" style="24" customWidth="1"/>
    <col min="14" max="16384" width="9.125" style="24" customWidth="1"/>
  </cols>
  <sheetData>
    <row r="1" spans="1:12" ht="26.25" customHeight="1">
      <c r="A1" s="138" t="s">
        <v>122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3" spans="1:13" ht="19.5" customHeight="1">
      <c r="A3" s="145" t="s">
        <v>0</v>
      </c>
      <c r="B3" s="140" t="s">
        <v>83</v>
      </c>
      <c r="C3" s="146" t="s">
        <v>102</v>
      </c>
      <c r="D3" s="146" t="s">
        <v>104</v>
      </c>
      <c r="E3" s="139">
        <v>0.1</v>
      </c>
      <c r="F3" s="143">
        <v>0.12</v>
      </c>
      <c r="G3" s="143">
        <v>0.2</v>
      </c>
      <c r="H3" s="139">
        <v>0.25</v>
      </c>
      <c r="I3" s="139">
        <v>0.4</v>
      </c>
      <c r="J3" s="141" t="s">
        <v>100</v>
      </c>
      <c r="K3" s="139">
        <v>0.5</v>
      </c>
      <c r="L3" s="140" t="s">
        <v>101</v>
      </c>
      <c r="M3" s="137"/>
    </row>
    <row r="4" spans="1:13" ht="26.25" customHeight="1">
      <c r="A4" s="145"/>
      <c r="B4" s="140"/>
      <c r="C4" s="147"/>
      <c r="D4" s="147"/>
      <c r="E4" s="140"/>
      <c r="F4" s="144"/>
      <c r="G4" s="144"/>
      <c r="H4" s="140"/>
      <c r="I4" s="140"/>
      <c r="J4" s="142"/>
      <c r="K4" s="140"/>
      <c r="L4" s="140"/>
      <c r="M4" s="137"/>
    </row>
    <row r="5" spans="1:13" ht="19.5" customHeight="1">
      <c r="A5" s="16" t="s">
        <v>50</v>
      </c>
      <c r="B5" s="25">
        <v>1</v>
      </c>
      <c r="C5" s="25">
        <v>744</v>
      </c>
      <c r="D5" s="25"/>
      <c r="E5" s="25">
        <v>74.4</v>
      </c>
      <c r="F5" s="25">
        <v>0</v>
      </c>
      <c r="G5" s="25"/>
      <c r="H5" s="25"/>
      <c r="I5" s="25"/>
      <c r="J5" s="25"/>
      <c r="K5" s="25"/>
      <c r="L5" s="25">
        <f>SUM(C5+E5+H5+I5+K5+F5)</f>
        <v>818.4</v>
      </c>
      <c r="M5" s="25"/>
    </row>
    <row r="6" spans="1:13" ht="19.5" customHeight="1">
      <c r="A6" s="17" t="s">
        <v>51</v>
      </c>
      <c r="B6" s="25">
        <v>2</v>
      </c>
      <c r="C6" s="25">
        <v>1488</v>
      </c>
      <c r="D6" s="25"/>
      <c r="E6" s="25">
        <v>37.2</v>
      </c>
      <c r="F6" s="25"/>
      <c r="G6" s="25"/>
      <c r="H6" s="25"/>
      <c r="I6" s="25"/>
      <c r="J6" s="25"/>
      <c r="K6" s="25"/>
      <c r="L6" s="25">
        <f>SUM(C6+E6+H6+I6+K6+F6)</f>
        <v>1525.2</v>
      </c>
      <c r="M6" s="25">
        <v>1153.2</v>
      </c>
    </row>
    <row r="7" spans="1:13" s="27" customFormat="1" ht="19.5" customHeight="1">
      <c r="A7" s="18" t="s">
        <v>52</v>
      </c>
      <c r="B7" s="34">
        <f aca="true" t="shared" si="0" ref="B7:K7">SUM(B5+B6)</f>
        <v>3</v>
      </c>
      <c r="C7" s="34">
        <f t="shared" si="0"/>
        <v>2232</v>
      </c>
      <c r="D7" s="34"/>
      <c r="E7" s="34">
        <f t="shared" si="0"/>
        <v>111.60000000000001</v>
      </c>
      <c r="F7" s="34">
        <f t="shared" si="0"/>
        <v>0</v>
      </c>
      <c r="G7" s="34"/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>SUM(L5+L6+F7)</f>
        <v>2343.6</v>
      </c>
      <c r="M7" s="34">
        <f>SUM(M5+M6+G7)</f>
        <v>1153.2</v>
      </c>
    </row>
    <row r="8" spans="1:13" ht="19.5" customHeight="1">
      <c r="A8" s="16" t="s">
        <v>21</v>
      </c>
      <c r="B8" s="25">
        <v>7.5</v>
      </c>
      <c r="C8" s="25">
        <v>5580</v>
      </c>
      <c r="D8" s="25"/>
      <c r="E8" s="25">
        <v>186</v>
      </c>
      <c r="F8" s="25"/>
      <c r="G8" s="25"/>
      <c r="H8" s="25"/>
      <c r="I8" s="25">
        <v>297.6</v>
      </c>
      <c r="J8" s="25">
        <v>369.6</v>
      </c>
      <c r="K8" s="25"/>
      <c r="L8" s="25">
        <f>SUM(C8+E8+H8+I8+K8+F8+J8)</f>
        <v>6433.200000000001</v>
      </c>
      <c r="M8" s="25">
        <v>5132.4</v>
      </c>
    </row>
    <row r="9" spans="1:13" ht="19.5" customHeight="1">
      <c r="A9" s="16" t="s">
        <v>60</v>
      </c>
      <c r="B9" s="25">
        <v>6</v>
      </c>
      <c r="C9" s="25">
        <v>4464</v>
      </c>
      <c r="D9" s="25"/>
      <c r="E9" s="25">
        <v>148.8</v>
      </c>
      <c r="F9" s="25"/>
      <c r="G9" s="25"/>
      <c r="H9" s="25"/>
      <c r="I9" s="25">
        <v>297.6</v>
      </c>
      <c r="J9" s="25"/>
      <c r="K9" s="25"/>
      <c r="L9" s="25">
        <f aca="true" t="shared" si="1" ref="L9:L18">SUM(C9+E9+H9+I9+K9+F9+J9)</f>
        <v>4910.400000000001</v>
      </c>
      <c r="M9" s="25">
        <v>4166.4</v>
      </c>
    </row>
    <row r="10" spans="1:13" s="27" customFormat="1" ht="19.5" customHeight="1">
      <c r="A10" s="16" t="s">
        <v>23</v>
      </c>
      <c r="B10" s="33">
        <v>9.25</v>
      </c>
      <c r="C10" s="33">
        <v>7050.5</v>
      </c>
      <c r="D10" s="33"/>
      <c r="E10" s="33">
        <v>302.2</v>
      </c>
      <c r="F10" s="33">
        <v>22.32</v>
      </c>
      <c r="G10" s="33"/>
      <c r="H10" s="33"/>
      <c r="I10" s="33">
        <v>297.6</v>
      </c>
      <c r="J10" s="33"/>
      <c r="K10" s="33"/>
      <c r="L10" s="33">
        <f t="shared" si="1"/>
        <v>7672.62</v>
      </c>
      <c r="M10" s="33">
        <v>6928.62</v>
      </c>
    </row>
    <row r="11" spans="1:13" ht="19.5" customHeight="1">
      <c r="A11" s="16" t="s">
        <v>61</v>
      </c>
      <c r="B11" s="25">
        <v>7.75</v>
      </c>
      <c r="C11" s="25">
        <v>5766</v>
      </c>
      <c r="D11" s="25"/>
      <c r="E11" s="25">
        <v>279</v>
      </c>
      <c r="F11" s="25"/>
      <c r="G11" s="25"/>
      <c r="H11" s="25"/>
      <c r="I11" s="25">
        <v>297.6</v>
      </c>
      <c r="J11" s="25"/>
      <c r="K11" s="25"/>
      <c r="L11" s="25">
        <f t="shared" si="1"/>
        <v>6342.6</v>
      </c>
      <c r="M11" s="25">
        <v>5598.6</v>
      </c>
    </row>
    <row r="12" spans="1:13" ht="19.5" customHeight="1">
      <c r="A12" s="16" t="s">
        <v>62</v>
      </c>
      <c r="B12" s="25">
        <v>7.25</v>
      </c>
      <c r="C12" s="25">
        <v>5394</v>
      </c>
      <c r="D12" s="25"/>
      <c r="E12" s="25">
        <v>130.2</v>
      </c>
      <c r="F12" s="25"/>
      <c r="G12" s="25"/>
      <c r="H12" s="25"/>
      <c r="I12" s="25">
        <v>297.6</v>
      </c>
      <c r="J12" s="25"/>
      <c r="K12" s="25"/>
      <c r="L12" s="25">
        <f t="shared" si="1"/>
        <v>5821.8</v>
      </c>
      <c r="M12" s="25">
        <v>4705.8</v>
      </c>
    </row>
    <row r="13" spans="1:13" s="27" customFormat="1" ht="19.5" customHeight="1">
      <c r="A13" s="16" t="s">
        <v>53</v>
      </c>
      <c r="B13" s="33">
        <v>14.8</v>
      </c>
      <c r="C13" s="33">
        <v>11267</v>
      </c>
      <c r="D13" s="33"/>
      <c r="E13" s="33">
        <v>516.5</v>
      </c>
      <c r="F13" s="33">
        <v>44.64</v>
      </c>
      <c r="G13" s="33"/>
      <c r="H13" s="33"/>
      <c r="I13" s="33">
        <v>297.6</v>
      </c>
      <c r="J13" s="33">
        <v>369.6</v>
      </c>
      <c r="K13" s="33">
        <v>223.5</v>
      </c>
      <c r="L13" s="33">
        <f t="shared" si="1"/>
        <v>12718.84</v>
      </c>
      <c r="M13" s="33">
        <v>11418.04</v>
      </c>
    </row>
    <row r="14" spans="1:13" ht="19.5" customHeight="1">
      <c r="A14" s="16" t="s">
        <v>97</v>
      </c>
      <c r="B14" s="25">
        <v>8.5</v>
      </c>
      <c r="C14" s="25">
        <v>6324</v>
      </c>
      <c r="D14" s="25"/>
      <c r="E14" s="25">
        <v>223.2</v>
      </c>
      <c r="F14" s="25"/>
      <c r="G14" s="25"/>
      <c r="H14" s="25"/>
      <c r="I14" s="25">
        <v>297.6</v>
      </c>
      <c r="J14" s="25">
        <v>369.6</v>
      </c>
      <c r="K14" s="25"/>
      <c r="L14" s="25">
        <f t="shared" si="1"/>
        <v>7214.400000000001</v>
      </c>
      <c r="M14" s="25">
        <v>5913.6</v>
      </c>
    </row>
    <row r="15" spans="1:13" ht="19.5" customHeight="1">
      <c r="A15" s="16" t="s">
        <v>63</v>
      </c>
      <c r="B15" s="25">
        <v>4</v>
      </c>
      <c r="C15" s="25">
        <v>2976</v>
      </c>
      <c r="D15" s="25"/>
      <c r="E15" s="25">
        <v>74.4</v>
      </c>
      <c r="F15" s="25"/>
      <c r="G15" s="25"/>
      <c r="H15" s="25"/>
      <c r="I15" s="25">
        <v>297.6</v>
      </c>
      <c r="J15" s="25"/>
      <c r="K15" s="25"/>
      <c r="L15" s="25">
        <f t="shared" si="1"/>
        <v>3348</v>
      </c>
      <c r="M15" s="25">
        <v>2604</v>
      </c>
    </row>
    <row r="16" spans="1:13" ht="19.5" customHeight="1">
      <c r="A16" s="16" t="s">
        <v>64</v>
      </c>
      <c r="B16" s="25">
        <v>9</v>
      </c>
      <c r="C16" s="25">
        <v>6696</v>
      </c>
      <c r="D16" s="25"/>
      <c r="E16" s="25">
        <v>223.2</v>
      </c>
      <c r="F16" s="25"/>
      <c r="G16" s="25"/>
      <c r="H16" s="25"/>
      <c r="I16" s="25">
        <v>297.6</v>
      </c>
      <c r="J16" s="25">
        <v>369.6</v>
      </c>
      <c r="K16" s="25"/>
      <c r="L16" s="25">
        <f t="shared" si="1"/>
        <v>7586.400000000001</v>
      </c>
      <c r="M16" s="25">
        <v>6285.6</v>
      </c>
    </row>
    <row r="17" spans="1:13" s="27" customFormat="1" ht="19.5" customHeight="1">
      <c r="A17" s="16" t="s">
        <v>28</v>
      </c>
      <c r="B17" s="33">
        <v>9.65</v>
      </c>
      <c r="C17" s="33">
        <v>7355</v>
      </c>
      <c r="D17" s="33"/>
      <c r="E17" s="33">
        <v>332.65</v>
      </c>
      <c r="F17" s="33">
        <v>22.32</v>
      </c>
      <c r="G17" s="33"/>
      <c r="H17" s="33"/>
      <c r="I17" s="33">
        <v>297.6</v>
      </c>
      <c r="J17" s="33"/>
      <c r="K17" s="33"/>
      <c r="L17" s="33">
        <f t="shared" si="1"/>
        <v>8007.57</v>
      </c>
      <c r="M17" s="33">
        <v>7263.57</v>
      </c>
    </row>
    <row r="18" spans="1:13" ht="19.5" customHeight="1">
      <c r="A18" s="16" t="s">
        <v>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>
        <f t="shared" si="1"/>
        <v>0</v>
      </c>
      <c r="M18" s="25"/>
    </row>
    <row r="19" spans="1:13" s="27" customFormat="1" ht="19.5" customHeight="1">
      <c r="A19" s="18" t="s">
        <v>54</v>
      </c>
      <c r="B19" s="34">
        <f aca="true" t="shared" si="2" ref="B19:K19">SUM(B8+B9+B10+B11+B12+B13+B14+B15+B16+B17+B18)</f>
        <v>83.7</v>
      </c>
      <c r="C19" s="34">
        <f t="shared" si="2"/>
        <v>62872.5</v>
      </c>
      <c r="D19" s="34"/>
      <c r="E19" s="34">
        <f t="shared" si="2"/>
        <v>2416.15</v>
      </c>
      <c r="F19" s="34">
        <f t="shared" si="2"/>
        <v>89.28</v>
      </c>
      <c r="G19" s="34"/>
      <c r="H19" s="34">
        <f t="shared" si="2"/>
        <v>0</v>
      </c>
      <c r="I19" s="34">
        <f t="shared" si="2"/>
        <v>2975.9999999999995</v>
      </c>
      <c r="J19" s="34">
        <f t="shared" si="2"/>
        <v>1478.4</v>
      </c>
      <c r="K19" s="34">
        <f t="shared" si="2"/>
        <v>223.5</v>
      </c>
      <c r="L19" s="34">
        <f>SUM(L8+L9+L10+L11+L12+L13+L14+L15+L16+L17+L18)</f>
        <v>70055.83</v>
      </c>
      <c r="M19" s="34">
        <f>SUM(M8+M9+M10+M11+M12+M13+M14+M15+M16+M17+M18)</f>
        <v>60016.63</v>
      </c>
    </row>
    <row r="20" spans="1:13" ht="19.5" customHeight="1">
      <c r="A20" s="16" t="s">
        <v>30</v>
      </c>
      <c r="B20" s="25">
        <v>10.5</v>
      </c>
      <c r="C20" s="25">
        <v>7962</v>
      </c>
      <c r="D20" s="25"/>
      <c r="E20" s="25">
        <v>372</v>
      </c>
      <c r="F20" s="25"/>
      <c r="G20" s="25"/>
      <c r="H20" s="25"/>
      <c r="I20" s="25">
        <v>297.6</v>
      </c>
      <c r="J20" s="25"/>
      <c r="K20" s="25"/>
      <c r="L20" s="25">
        <f>SUM(C20+E20+H20+I20+K20+F20)</f>
        <v>8631.6</v>
      </c>
      <c r="M20" s="25"/>
    </row>
    <row r="21" spans="1:13" ht="19.5" customHeight="1">
      <c r="A21" s="16" t="s">
        <v>55</v>
      </c>
      <c r="B21" s="25">
        <v>24</v>
      </c>
      <c r="C21" s="25">
        <v>18006</v>
      </c>
      <c r="D21" s="25"/>
      <c r="E21" s="25">
        <v>1339.2</v>
      </c>
      <c r="F21" s="25"/>
      <c r="G21" s="25">
        <v>744</v>
      </c>
      <c r="H21" s="25"/>
      <c r="I21" s="25">
        <v>297.6</v>
      </c>
      <c r="J21" s="25"/>
      <c r="K21" s="25"/>
      <c r="L21" s="25">
        <f>SUM(C21+E21+H21+I21+K21+F21+G21)</f>
        <v>20386.8</v>
      </c>
      <c r="M21" s="25"/>
    </row>
    <row r="22" spans="1:13" ht="19.5" customHeight="1">
      <c r="A22" s="16" t="s">
        <v>56</v>
      </c>
      <c r="B22" s="25">
        <v>15.5</v>
      </c>
      <c r="C22" s="25">
        <v>11682</v>
      </c>
      <c r="D22" s="25"/>
      <c r="E22" s="25">
        <v>446.4</v>
      </c>
      <c r="F22" s="25"/>
      <c r="G22" s="25"/>
      <c r="H22" s="25"/>
      <c r="I22" s="25">
        <v>595.2</v>
      </c>
      <c r="J22" s="25"/>
      <c r="K22" s="25"/>
      <c r="L22" s="25">
        <f>SUM(C22+E22+H22+I22+K22+F22)</f>
        <v>12723.6</v>
      </c>
      <c r="M22" s="25">
        <v>11235.6</v>
      </c>
    </row>
    <row r="23" spans="1:13" ht="19.5" customHeight="1">
      <c r="A23" s="18" t="s">
        <v>57</v>
      </c>
      <c r="B23" s="34">
        <f aca="true" t="shared" si="3" ref="B23:K23">SUM(B20+B21+B22)</f>
        <v>50</v>
      </c>
      <c r="C23" s="34">
        <f t="shared" si="3"/>
        <v>37650</v>
      </c>
      <c r="D23" s="34"/>
      <c r="E23" s="34">
        <f t="shared" si="3"/>
        <v>2157.6</v>
      </c>
      <c r="F23" s="34">
        <f t="shared" si="3"/>
        <v>0</v>
      </c>
      <c r="G23" s="34">
        <f t="shared" si="3"/>
        <v>744</v>
      </c>
      <c r="H23" s="34">
        <f t="shared" si="3"/>
        <v>0</v>
      </c>
      <c r="I23" s="34">
        <f t="shared" si="3"/>
        <v>1190.4</v>
      </c>
      <c r="J23" s="34">
        <f t="shared" si="3"/>
        <v>0</v>
      </c>
      <c r="K23" s="34">
        <f t="shared" si="3"/>
        <v>0</v>
      </c>
      <c r="L23" s="34">
        <f>SUM(L20+L21+L22)</f>
        <v>41742</v>
      </c>
      <c r="M23" s="34">
        <f>SUM(M20+M21+M22)</f>
        <v>11235.6</v>
      </c>
    </row>
    <row r="24" spans="1:13" ht="19.5" customHeight="1">
      <c r="A24" s="16" t="s">
        <v>66</v>
      </c>
      <c r="B24" s="25">
        <v>8.75</v>
      </c>
      <c r="C24" s="25">
        <v>6510</v>
      </c>
      <c r="D24" s="25"/>
      <c r="E24" s="25">
        <v>241.8</v>
      </c>
      <c r="F24" s="25"/>
      <c r="G24" s="25"/>
      <c r="H24" s="25"/>
      <c r="I24" s="25">
        <v>297.6</v>
      </c>
      <c r="J24" s="25"/>
      <c r="K24" s="25"/>
      <c r="L24" s="25">
        <f>SUM(C24+E24+H24+I24+K24+F24)</f>
        <v>7049.400000000001</v>
      </c>
      <c r="M24" s="25">
        <v>5933.4</v>
      </c>
    </row>
    <row r="25" spans="1:13" ht="19.5" customHeight="1">
      <c r="A25" s="16" t="s">
        <v>67</v>
      </c>
      <c r="B25" s="25">
        <v>9.5</v>
      </c>
      <c r="C25" s="25">
        <v>7068</v>
      </c>
      <c r="D25" s="25"/>
      <c r="E25" s="25">
        <v>223.2</v>
      </c>
      <c r="F25" s="25"/>
      <c r="G25" s="25"/>
      <c r="H25" s="25"/>
      <c r="I25" s="25">
        <v>297.6</v>
      </c>
      <c r="J25" s="25">
        <v>369.6</v>
      </c>
      <c r="K25" s="25"/>
      <c r="L25" s="25">
        <f>SUM(C25+E25+F25+G25+H25+I25+J25+K25)</f>
        <v>7958.400000000001</v>
      </c>
      <c r="M25" s="25">
        <v>7958.4</v>
      </c>
    </row>
    <row r="26" spans="1:13" ht="19.5" customHeight="1">
      <c r="A26" s="16" t="s">
        <v>68</v>
      </c>
      <c r="B26" s="25">
        <v>11.25</v>
      </c>
      <c r="C26" s="25">
        <v>8370</v>
      </c>
      <c r="D26" s="25"/>
      <c r="E26" s="25">
        <v>465</v>
      </c>
      <c r="F26" s="25"/>
      <c r="G26" s="25"/>
      <c r="H26" s="25"/>
      <c r="I26" s="25">
        <v>297.6</v>
      </c>
      <c r="J26" s="25"/>
      <c r="K26" s="25"/>
      <c r="L26" s="25">
        <f aca="true" t="shared" si="4" ref="L26:L38">SUM(C26+E26+F26+G26+H26+I26+J26+K26)</f>
        <v>9132.6</v>
      </c>
      <c r="M26" s="25">
        <v>8388.6</v>
      </c>
    </row>
    <row r="27" spans="1:13" ht="19.5" customHeight="1">
      <c r="A27" s="16" t="s">
        <v>69</v>
      </c>
      <c r="B27" s="25">
        <v>21.5</v>
      </c>
      <c r="C27" s="25">
        <v>16192</v>
      </c>
      <c r="D27" s="25"/>
      <c r="E27" s="25">
        <v>744</v>
      </c>
      <c r="F27" s="25"/>
      <c r="G27" s="25"/>
      <c r="H27" s="25">
        <v>186</v>
      </c>
      <c r="I27" s="25">
        <v>297.6</v>
      </c>
      <c r="J27" s="25">
        <v>369.6</v>
      </c>
      <c r="K27" s="25">
        <v>372</v>
      </c>
      <c r="L27" s="25">
        <f t="shared" si="4"/>
        <v>18161.199999999997</v>
      </c>
      <c r="M27" s="25">
        <v>16860.4</v>
      </c>
    </row>
    <row r="28" spans="1:13" s="27" customFormat="1" ht="19.5" customHeight="1">
      <c r="A28" s="16" t="s">
        <v>36</v>
      </c>
      <c r="B28" s="33">
        <v>11.75</v>
      </c>
      <c r="C28" s="33">
        <v>8910.5</v>
      </c>
      <c r="D28" s="33"/>
      <c r="E28" s="33">
        <v>488.2</v>
      </c>
      <c r="F28" s="33">
        <v>22.32</v>
      </c>
      <c r="G28" s="33"/>
      <c r="H28" s="33"/>
      <c r="I28" s="33">
        <v>297.6</v>
      </c>
      <c r="J28" s="33"/>
      <c r="K28" s="33"/>
      <c r="L28" s="33">
        <f t="shared" si="4"/>
        <v>9718.62</v>
      </c>
      <c r="M28" s="33">
        <v>8974.62</v>
      </c>
    </row>
    <row r="29" spans="1:13" ht="19.5" customHeight="1">
      <c r="A29" s="16" t="s">
        <v>70</v>
      </c>
      <c r="B29" s="25">
        <v>10.5</v>
      </c>
      <c r="C29" s="25">
        <v>7962</v>
      </c>
      <c r="D29" s="25"/>
      <c r="E29" s="25">
        <v>223.2</v>
      </c>
      <c r="F29" s="25"/>
      <c r="G29" s="25"/>
      <c r="H29" s="25"/>
      <c r="I29" s="25">
        <v>297.6</v>
      </c>
      <c r="J29" s="25">
        <v>369.6</v>
      </c>
      <c r="K29" s="25"/>
      <c r="L29" s="25">
        <f t="shared" si="4"/>
        <v>8852.4</v>
      </c>
      <c r="M29" s="25">
        <v>7551.6</v>
      </c>
    </row>
    <row r="30" spans="1:13" ht="19.5" customHeight="1">
      <c r="A30" s="16" t="s">
        <v>71</v>
      </c>
      <c r="B30" s="25">
        <v>11.25</v>
      </c>
      <c r="C30" s="25">
        <v>8520</v>
      </c>
      <c r="D30" s="25"/>
      <c r="E30" s="25">
        <v>353.4</v>
      </c>
      <c r="F30" s="25"/>
      <c r="G30" s="25"/>
      <c r="H30" s="25"/>
      <c r="I30" s="25">
        <v>297.6</v>
      </c>
      <c r="J30" s="25"/>
      <c r="K30" s="25"/>
      <c r="L30" s="25">
        <f t="shared" si="4"/>
        <v>9171</v>
      </c>
      <c r="M30" s="25">
        <v>8427</v>
      </c>
    </row>
    <row r="31" spans="1:13" ht="19.5" customHeight="1">
      <c r="A31" s="19" t="s">
        <v>72</v>
      </c>
      <c r="B31" s="25">
        <v>16.75</v>
      </c>
      <c r="C31" s="25">
        <v>12612</v>
      </c>
      <c r="D31" s="25"/>
      <c r="E31" s="25">
        <v>539.4</v>
      </c>
      <c r="F31" s="25"/>
      <c r="G31" s="25"/>
      <c r="H31" s="25"/>
      <c r="I31" s="25">
        <v>297.6</v>
      </c>
      <c r="J31" s="25">
        <v>369.6</v>
      </c>
      <c r="K31" s="25"/>
      <c r="L31" s="25">
        <f t="shared" si="4"/>
        <v>13818.6</v>
      </c>
      <c r="M31" s="25">
        <v>12517.8</v>
      </c>
    </row>
    <row r="32" spans="1:13" ht="19.5" customHeight="1">
      <c r="A32" s="16" t="s">
        <v>73</v>
      </c>
      <c r="B32" s="25">
        <v>17.54</v>
      </c>
      <c r="C32" s="25">
        <v>13199.76</v>
      </c>
      <c r="D32" s="25"/>
      <c r="E32" s="25">
        <v>502.2</v>
      </c>
      <c r="F32" s="25"/>
      <c r="G32" s="25"/>
      <c r="H32" s="25">
        <v>186</v>
      </c>
      <c r="I32" s="25">
        <v>667.2</v>
      </c>
      <c r="J32" s="25"/>
      <c r="K32" s="25">
        <v>372</v>
      </c>
      <c r="L32" s="25">
        <f t="shared" si="4"/>
        <v>14927.160000000002</v>
      </c>
      <c r="M32" s="25">
        <v>14183.16</v>
      </c>
    </row>
    <row r="33" spans="1:13" s="27" customFormat="1" ht="19.5" customHeight="1">
      <c r="A33" s="16" t="s">
        <v>41</v>
      </c>
      <c r="B33" s="33">
        <v>12.4</v>
      </c>
      <c r="C33" s="33">
        <v>9401</v>
      </c>
      <c r="D33" s="33"/>
      <c r="E33" s="33">
        <v>462.85</v>
      </c>
      <c r="F33" s="33">
        <v>22.32</v>
      </c>
      <c r="G33" s="33"/>
      <c r="H33" s="33"/>
      <c r="I33" s="33">
        <v>297.6</v>
      </c>
      <c r="J33" s="33"/>
      <c r="K33" s="33"/>
      <c r="L33" s="33">
        <f t="shared" si="4"/>
        <v>10183.77</v>
      </c>
      <c r="M33" s="33">
        <v>9439.77</v>
      </c>
    </row>
    <row r="34" spans="1:13" ht="19.5" customHeight="1">
      <c r="A34" s="16" t="s">
        <v>74</v>
      </c>
      <c r="B34" s="25">
        <v>10.5</v>
      </c>
      <c r="C34" s="25">
        <v>7962</v>
      </c>
      <c r="D34" s="25"/>
      <c r="E34" s="25">
        <v>297.6</v>
      </c>
      <c r="F34" s="25"/>
      <c r="G34" s="25"/>
      <c r="H34" s="25"/>
      <c r="I34" s="25">
        <v>297.6</v>
      </c>
      <c r="J34" s="25"/>
      <c r="K34" s="25"/>
      <c r="L34" s="25">
        <f t="shared" si="4"/>
        <v>8557.2</v>
      </c>
      <c r="M34" s="25">
        <v>7813.2</v>
      </c>
    </row>
    <row r="35" spans="1:13" ht="19.5" customHeight="1">
      <c r="A35" s="16" t="s">
        <v>75</v>
      </c>
      <c r="B35" s="25">
        <v>8.75</v>
      </c>
      <c r="C35" s="25">
        <v>6660</v>
      </c>
      <c r="D35" s="25"/>
      <c r="E35" s="25">
        <v>130.2</v>
      </c>
      <c r="F35" s="25"/>
      <c r="G35" s="25"/>
      <c r="H35" s="25"/>
      <c r="I35" s="25">
        <v>297.6</v>
      </c>
      <c r="J35" s="25"/>
      <c r="K35" s="25">
        <v>369.6</v>
      </c>
      <c r="L35" s="25">
        <f t="shared" si="4"/>
        <v>7457.400000000001</v>
      </c>
      <c r="M35" s="25">
        <v>6156.6</v>
      </c>
    </row>
    <row r="36" spans="1:13" s="27" customFormat="1" ht="19.5" customHeight="1">
      <c r="A36" s="16" t="s">
        <v>44</v>
      </c>
      <c r="B36" s="33">
        <v>12.15</v>
      </c>
      <c r="C36" s="33">
        <v>9215</v>
      </c>
      <c r="D36" s="33"/>
      <c r="E36" s="33">
        <v>369.85</v>
      </c>
      <c r="F36" s="33">
        <v>22.32</v>
      </c>
      <c r="G36" s="33"/>
      <c r="H36" s="33"/>
      <c r="I36" s="33">
        <v>297.6</v>
      </c>
      <c r="J36" s="33"/>
      <c r="K36" s="33"/>
      <c r="L36" s="33">
        <f t="shared" si="4"/>
        <v>9904.77</v>
      </c>
      <c r="M36" s="33">
        <v>8788.77</v>
      </c>
    </row>
    <row r="37" spans="1:13" ht="19.5" customHeight="1">
      <c r="A37" s="16" t="s">
        <v>76</v>
      </c>
      <c r="B37" s="25">
        <v>9</v>
      </c>
      <c r="C37" s="25">
        <v>6696</v>
      </c>
      <c r="D37" s="25"/>
      <c r="E37" s="25">
        <v>260.4</v>
      </c>
      <c r="F37" s="25"/>
      <c r="G37" s="25"/>
      <c r="H37" s="25"/>
      <c r="I37" s="25">
        <v>297.6</v>
      </c>
      <c r="J37" s="25">
        <v>369.6</v>
      </c>
      <c r="K37" s="25"/>
      <c r="L37" s="25">
        <f t="shared" si="4"/>
        <v>7623.6</v>
      </c>
      <c r="M37" s="25">
        <v>6322.88</v>
      </c>
    </row>
    <row r="38" spans="1:13" ht="19.5" customHeight="1">
      <c r="A38" s="16" t="s">
        <v>77</v>
      </c>
      <c r="B38" s="25">
        <v>9.5</v>
      </c>
      <c r="C38" s="25">
        <v>7068</v>
      </c>
      <c r="D38" s="25"/>
      <c r="E38" s="25">
        <v>260.4</v>
      </c>
      <c r="F38" s="25"/>
      <c r="G38" s="25"/>
      <c r="H38" s="25"/>
      <c r="I38" s="25">
        <v>297.6</v>
      </c>
      <c r="J38" s="25">
        <v>369.6</v>
      </c>
      <c r="K38" s="25"/>
      <c r="L38" s="25">
        <f t="shared" si="4"/>
        <v>7995.6</v>
      </c>
      <c r="M38" s="25">
        <v>6694.8</v>
      </c>
    </row>
    <row r="39" spans="1:13" ht="19.5" customHeight="1">
      <c r="A39" s="18" t="s">
        <v>58</v>
      </c>
      <c r="B39" s="34">
        <f aca="true" t="shared" si="5" ref="B39:K39">SUM(B24+B25+B26+B27+B28+B29+B30+B31+B32+B33+B34+B35+B36+B37+B38)</f>
        <v>181.09</v>
      </c>
      <c r="C39" s="34">
        <f t="shared" si="5"/>
        <v>136346.26</v>
      </c>
      <c r="D39" s="34"/>
      <c r="E39" s="34">
        <f t="shared" si="5"/>
        <v>5561.7</v>
      </c>
      <c r="F39" s="34">
        <f t="shared" si="5"/>
        <v>66.96000000000001</v>
      </c>
      <c r="G39" s="34"/>
      <c r="H39" s="34">
        <f t="shared" si="5"/>
        <v>372</v>
      </c>
      <c r="I39" s="34">
        <f t="shared" si="5"/>
        <v>4833.6</v>
      </c>
      <c r="J39" s="34">
        <f t="shared" si="5"/>
        <v>2217.6</v>
      </c>
      <c r="K39" s="34">
        <f t="shared" si="5"/>
        <v>1113.6</v>
      </c>
      <c r="L39" s="34">
        <f>SUM(L24+L25+L26+L27+L28+L29+L30+L31+L32+L33+L34+L35+L36+L37+L38)</f>
        <v>150511.72</v>
      </c>
      <c r="M39" s="34">
        <f>SUM(M24+M25+M26+M27+M28+M29+M30+M31+M32+M33+M34+M35+M36+M37+M38)</f>
        <v>136011.00000000003</v>
      </c>
    </row>
    <row r="40" spans="1:13" ht="19.5" customHeight="1">
      <c r="A40" s="21" t="s">
        <v>99</v>
      </c>
      <c r="B40" s="28">
        <f>SUM(B5+B6+B8+B9+B11+B12+B14+B15+B16+B20+B21+B22+B24+B25+B26+B27+B29+B30+B31+B32+B34+B35+B37+B38)</f>
        <v>247.79</v>
      </c>
      <c r="C40" s="28">
        <f aca="true" t="shared" si="6" ref="C40:M40">SUM(C5+C6+C8+C9+C11+C12+C14+C15+C16+C20+C21+C22+C24+C25+C26+C27+C29+C30+C31+C32+C34+C35+C37+C38)</f>
        <v>185901.76</v>
      </c>
      <c r="D40" s="28"/>
      <c r="E40" s="28">
        <f t="shared" si="6"/>
        <v>7774.799999999998</v>
      </c>
      <c r="F40" s="28">
        <f t="shared" si="6"/>
        <v>0</v>
      </c>
      <c r="G40" s="28">
        <f t="shared" si="6"/>
        <v>744</v>
      </c>
      <c r="H40" s="28">
        <f t="shared" si="6"/>
        <v>372</v>
      </c>
      <c r="I40" s="28">
        <f t="shared" si="6"/>
        <v>7214.400000000002</v>
      </c>
      <c r="J40" s="28">
        <f t="shared" si="6"/>
        <v>3326.3999999999996</v>
      </c>
      <c r="K40" s="28">
        <f t="shared" si="6"/>
        <v>1113.6</v>
      </c>
      <c r="L40" s="28">
        <f t="shared" si="6"/>
        <v>206446.96000000002</v>
      </c>
      <c r="M40" s="28">
        <f t="shared" si="6"/>
        <v>155603.04</v>
      </c>
    </row>
    <row r="41" spans="1:13" ht="19.5" customHeight="1">
      <c r="A41" s="20" t="s">
        <v>105</v>
      </c>
      <c r="B41" s="28">
        <f>SUM(B10+B13+B17+B28+B33+B36)</f>
        <v>70</v>
      </c>
      <c r="C41" s="28">
        <f aca="true" t="shared" si="7" ref="C41:M41">SUM(C10+C13+C17+C28+C33+C36)</f>
        <v>53199</v>
      </c>
      <c r="D41" s="28"/>
      <c r="E41" s="28">
        <f t="shared" si="7"/>
        <v>2472.25</v>
      </c>
      <c r="F41" s="28">
        <f t="shared" si="7"/>
        <v>156.23999999999998</v>
      </c>
      <c r="G41" s="28">
        <f t="shared" si="7"/>
        <v>0</v>
      </c>
      <c r="H41" s="28">
        <f t="shared" si="7"/>
        <v>0</v>
      </c>
      <c r="I41" s="28">
        <f t="shared" si="7"/>
        <v>1785.6</v>
      </c>
      <c r="J41" s="28">
        <f t="shared" si="7"/>
        <v>369.6</v>
      </c>
      <c r="K41" s="28">
        <f t="shared" si="7"/>
        <v>223.5</v>
      </c>
      <c r="L41" s="28">
        <f t="shared" si="7"/>
        <v>58206.19</v>
      </c>
      <c r="M41" s="28">
        <f t="shared" si="7"/>
        <v>52813.39</v>
      </c>
    </row>
    <row r="42" spans="1:13" s="29" customFormat="1" ht="19.5" customHeight="1">
      <c r="A42" s="21" t="s">
        <v>59</v>
      </c>
      <c r="B42" s="28">
        <f>SUM(B39,B23,B19,B7)</f>
        <v>317.79</v>
      </c>
      <c r="C42" s="28">
        <f>SUM(C7+C19+C23+C39)</f>
        <v>239100.76</v>
      </c>
      <c r="D42" s="28"/>
      <c r="E42" s="28">
        <f>SUM(E7+E19+E23+E39)</f>
        <v>10247.05</v>
      </c>
      <c r="F42" s="28">
        <f>SUM(F19+F23+F7+F39)</f>
        <v>156.24</v>
      </c>
      <c r="G42" s="28">
        <f aca="true" t="shared" si="8" ref="G42:M42">SUM(G19+G23+G7+G39)</f>
        <v>744</v>
      </c>
      <c r="H42" s="28">
        <f t="shared" si="8"/>
        <v>372</v>
      </c>
      <c r="I42" s="28">
        <f t="shared" si="8"/>
        <v>9000</v>
      </c>
      <c r="J42" s="28">
        <f t="shared" si="8"/>
        <v>3696</v>
      </c>
      <c r="K42" s="28">
        <f t="shared" si="8"/>
        <v>1337.1</v>
      </c>
      <c r="L42" s="28">
        <f t="shared" si="8"/>
        <v>264653.15</v>
      </c>
      <c r="M42" s="28">
        <f t="shared" si="8"/>
        <v>208416.43000000002</v>
      </c>
    </row>
    <row r="43" spans="1:13" s="29" customFormat="1" ht="15.75" customHeight="1">
      <c r="A43" s="21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</sheetData>
  <sheetProtection/>
  <mergeCells count="14">
    <mergeCell ref="A3:A4"/>
    <mergeCell ref="B3:B4"/>
    <mergeCell ref="C3:C4"/>
    <mergeCell ref="D3:D4"/>
    <mergeCell ref="M3:M4"/>
    <mergeCell ref="A1:L1"/>
    <mergeCell ref="I3:I4"/>
    <mergeCell ref="J3:J4"/>
    <mergeCell ref="K3:K4"/>
    <mergeCell ref="L3:L4"/>
    <mergeCell ref="E3:E4"/>
    <mergeCell ref="F3:F4"/>
    <mergeCell ref="G3:G4"/>
    <mergeCell ref="H3:H4"/>
  </mergeCells>
  <printOptions/>
  <pageMargins left="0.75" right="0.75" top="0.2" bottom="0.16" header="0.5" footer="0.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="75" zoomScaleNormal="75" zoomScalePageLayoutView="0" workbookViewId="0" topLeftCell="A1">
      <pane xSplit="6" ySplit="10" topLeftCell="G3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M34" sqref="M34"/>
    </sheetView>
  </sheetViews>
  <sheetFormatPr defaultColWidth="9.00390625" defaultRowHeight="19.5" customHeight="1"/>
  <cols>
    <col min="1" max="1" width="33.00390625" style="24" customWidth="1"/>
    <col min="2" max="2" width="9.125" style="24" customWidth="1"/>
    <col min="3" max="3" width="13.125" style="24" customWidth="1"/>
    <col min="4" max="4" width="10.125" style="24" customWidth="1"/>
    <col min="5" max="5" width="12.375" style="24" customWidth="1"/>
    <col min="6" max="9" width="9.125" style="24" customWidth="1"/>
    <col min="10" max="10" width="12.00390625" style="24" customWidth="1"/>
    <col min="11" max="11" width="9.125" style="24" customWidth="1"/>
    <col min="12" max="12" width="13.125" style="24" customWidth="1"/>
    <col min="13" max="13" width="18.75390625" style="24" customWidth="1"/>
    <col min="14" max="16384" width="9.125" style="24" customWidth="1"/>
  </cols>
  <sheetData>
    <row r="1" spans="1:13" ht="19.5" customHeight="1">
      <c r="A1" s="145" t="s">
        <v>0</v>
      </c>
      <c r="B1" s="140" t="s">
        <v>83</v>
      </c>
      <c r="C1" s="146" t="s">
        <v>102</v>
      </c>
      <c r="D1" s="146" t="s">
        <v>104</v>
      </c>
      <c r="E1" s="139">
        <v>0.1</v>
      </c>
      <c r="F1" s="143">
        <v>0.12</v>
      </c>
      <c r="G1" s="143">
        <v>0.2</v>
      </c>
      <c r="H1" s="139">
        <v>0.25</v>
      </c>
      <c r="I1" s="139">
        <v>0.4</v>
      </c>
      <c r="J1" s="141" t="s">
        <v>100</v>
      </c>
      <c r="K1" s="139">
        <v>0.5</v>
      </c>
      <c r="L1" s="140" t="s">
        <v>101</v>
      </c>
      <c r="M1" s="148" t="s">
        <v>103</v>
      </c>
    </row>
    <row r="2" spans="1:13" ht="26.25" customHeight="1">
      <c r="A2" s="145"/>
      <c r="B2" s="140"/>
      <c r="C2" s="147"/>
      <c r="D2" s="147"/>
      <c r="E2" s="140"/>
      <c r="F2" s="144"/>
      <c r="G2" s="144"/>
      <c r="H2" s="140"/>
      <c r="I2" s="140"/>
      <c r="J2" s="142"/>
      <c r="K2" s="140"/>
      <c r="L2" s="140"/>
      <c r="M2" s="148"/>
    </row>
    <row r="3" spans="1:13" ht="19.5" customHeight="1">
      <c r="A3" s="16" t="s">
        <v>50</v>
      </c>
      <c r="B3" s="25">
        <v>1</v>
      </c>
      <c r="C3" s="25">
        <v>650</v>
      </c>
      <c r="D3" s="25"/>
      <c r="E3" s="25">
        <v>65</v>
      </c>
      <c r="F3" s="25">
        <v>0</v>
      </c>
      <c r="G3" s="25"/>
      <c r="H3" s="25"/>
      <c r="I3" s="25"/>
      <c r="J3" s="25"/>
      <c r="K3" s="25"/>
      <c r="L3" s="25">
        <f>SUM(C3+E3+H3+I3+K3+F3)</f>
        <v>715</v>
      </c>
      <c r="M3" s="25"/>
    </row>
    <row r="4" spans="1:13" ht="19.5" customHeight="1">
      <c r="A4" s="17" t="s">
        <v>51</v>
      </c>
      <c r="B4" s="25">
        <v>2</v>
      </c>
      <c r="C4" s="25">
        <v>1300</v>
      </c>
      <c r="D4" s="25"/>
      <c r="E4" s="25">
        <v>32.5</v>
      </c>
      <c r="F4" s="25"/>
      <c r="G4" s="25"/>
      <c r="H4" s="25"/>
      <c r="I4" s="25"/>
      <c r="J4" s="25"/>
      <c r="K4" s="25"/>
      <c r="L4" s="25">
        <f>SUM(C4+E4+H4+I4+K4+F4)</f>
        <v>1332.5</v>
      </c>
      <c r="M4" s="25"/>
    </row>
    <row r="5" spans="1:13" s="27" customFormat="1" ht="19.5" customHeight="1">
      <c r="A5" s="18" t="s">
        <v>52</v>
      </c>
      <c r="B5" s="26">
        <f aca="true" t="shared" si="0" ref="B5:K5">SUM(B3+B4)</f>
        <v>3</v>
      </c>
      <c r="C5" s="26">
        <f t="shared" si="0"/>
        <v>1950</v>
      </c>
      <c r="D5" s="26"/>
      <c r="E5" s="26">
        <f t="shared" si="0"/>
        <v>97.5</v>
      </c>
      <c r="F5" s="26">
        <f t="shared" si="0"/>
        <v>0</v>
      </c>
      <c r="G5" s="26"/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>SUM(L3+L4+F5)</f>
        <v>2047.5</v>
      </c>
      <c r="M5" s="33"/>
    </row>
    <row r="6" spans="1:13" ht="19.5" customHeight="1">
      <c r="A6" s="16" t="s">
        <v>21</v>
      </c>
      <c r="B6" s="25">
        <v>7.5</v>
      </c>
      <c r="C6" s="25">
        <v>4875</v>
      </c>
      <c r="D6" s="25"/>
      <c r="E6" s="25">
        <v>162.5</v>
      </c>
      <c r="F6" s="25"/>
      <c r="G6" s="25"/>
      <c r="H6" s="25"/>
      <c r="I6" s="25">
        <v>260</v>
      </c>
      <c r="J6" s="25">
        <v>325</v>
      </c>
      <c r="K6" s="25"/>
      <c r="L6" s="25">
        <f>SUM(C6+E6+H6+I6+K6+F6+J6)</f>
        <v>5622.5</v>
      </c>
      <c r="M6" s="25"/>
    </row>
    <row r="7" spans="1:13" ht="19.5" customHeight="1">
      <c r="A7" s="16" t="s">
        <v>60</v>
      </c>
      <c r="B7" s="25">
        <v>6</v>
      </c>
      <c r="C7" s="25">
        <v>3900</v>
      </c>
      <c r="D7" s="25"/>
      <c r="E7" s="25">
        <v>130</v>
      </c>
      <c r="F7" s="25"/>
      <c r="G7" s="25"/>
      <c r="H7" s="25"/>
      <c r="I7" s="25">
        <v>260</v>
      </c>
      <c r="J7" s="25"/>
      <c r="K7" s="25"/>
      <c r="L7" s="25">
        <f aca="true" t="shared" si="1" ref="L7:L16">SUM(C7+E7+H7+I7+K7+F7+J7)</f>
        <v>4290</v>
      </c>
      <c r="M7" s="25"/>
    </row>
    <row r="8" spans="1:13" s="32" customFormat="1" ht="19.5" customHeight="1">
      <c r="A8" s="30" t="s">
        <v>23</v>
      </c>
      <c r="B8" s="31">
        <v>9.25</v>
      </c>
      <c r="C8" s="31">
        <v>6369</v>
      </c>
      <c r="D8" s="31"/>
      <c r="E8" s="31">
        <v>274</v>
      </c>
      <c r="F8" s="31">
        <v>19.5</v>
      </c>
      <c r="G8" s="31"/>
      <c r="H8" s="31"/>
      <c r="I8" s="31">
        <v>260</v>
      </c>
      <c r="J8" s="31"/>
      <c r="K8" s="31"/>
      <c r="L8" s="31">
        <f t="shared" si="1"/>
        <v>6922.5</v>
      </c>
      <c r="M8" s="31"/>
    </row>
    <row r="9" spans="1:13" ht="19.5" customHeight="1">
      <c r="A9" s="16" t="s">
        <v>61</v>
      </c>
      <c r="B9" s="25">
        <v>7.75</v>
      </c>
      <c r="C9" s="25">
        <v>5037.5</v>
      </c>
      <c r="D9" s="25"/>
      <c r="E9" s="25">
        <v>243.75</v>
      </c>
      <c r="F9" s="25"/>
      <c r="G9" s="25"/>
      <c r="H9" s="25"/>
      <c r="I9" s="25">
        <v>260</v>
      </c>
      <c r="J9" s="25"/>
      <c r="K9" s="25"/>
      <c r="L9" s="25">
        <f t="shared" si="1"/>
        <v>5541.25</v>
      </c>
      <c r="M9" s="25"/>
    </row>
    <row r="10" spans="1:13" ht="19.5" customHeight="1">
      <c r="A10" s="16" t="s">
        <v>62</v>
      </c>
      <c r="B10" s="25">
        <v>7.25</v>
      </c>
      <c r="C10" s="25">
        <v>4712.5</v>
      </c>
      <c r="D10" s="25"/>
      <c r="E10" s="25">
        <v>113.75</v>
      </c>
      <c r="F10" s="25"/>
      <c r="G10" s="25"/>
      <c r="H10" s="25"/>
      <c r="I10" s="25">
        <v>260</v>
      </c>
      <c r="J10" s="25"/>
      <c r="K10" s="25"/>
      <c r="L10" s="25">
        <f t="shared" si="1"/>
        <v>5086.25</v>
      </c>
      <c r="M10" s="25"/>
    </row>
    <row r="11" spans="1:13" s="32" customFormat="1" ht="19.5" customHeight="1">
      <c r="A11" s="30" t="s">
        <v>53</v>
      </c>
      <c r="B11" s="31">
        <v>14.8</v>
      </c>
      <c r="C11" s="31">
        <v>10186</v>
      </c>
      <c r="D11" s="31"/>
      <c r="E11" s="31">
        <v>474.2</v>
      </c>
      <c r="F11" s="31">
        <v>39</v>
      </c>
      <c r="G11" s="31"/>
      <c r="H11" s="31"/>
      <c r="I11" s="31">
        <v>260</v>
      </c>
      <c r="J11" s="31">
        <v>325</v>
      </c>
      <c r="K11" s="31">
        <v>223.5</v>
      </c>
      <c r="L11" s="31">
        <f t="shared" si="1"/>
        <v>11507.7</v>
      </c>
      <c r="M11" s="31"/>
    </row>
    <row r="12" spans="1:13" ht="19.5" customHeight="1">
      <c r="A12" s="16" t="s">
        <v>97</v>
      </c>
      <c r="B12" s="25">
        <v>8.5</v>
      </c>
      <c r="C12" s="25">
        <v>5525</v>
      </c>
      <c r="D12" s="25"/>
      <c r="E12" s="25">
        <v>195</v>
      </c>
      <c r="F12" s="25"/>
      <c r="G12" s="25"/>
      <c r="H12" s="25"/>
      <c r="I12" s="25">
        <v>260</v>
      </c>
      <c r="J12" s="25">
        <v>325</v>
      </c>
      <c r="K12" s="25"/>
      <c r="L12" s="25">
        <f t="shared" si="1"/>
        <v>6305</v>
      </c>
      <c r="M12" s="25"/>
    </row>
    <row r="13" spans="1:13" ht="19.5" customHeight="1">
      <c r="A13" s="16" t="s">
        <v>63</v>
      </c>
      <c r="B13" s="25">
        <v>4</v>
      </c>
      <c r="C13" s="25">
        <v>2600</v>
      </c>
      <c r="D13" s="25"/>
      <c r="E13" s="25">
        <v>65</v>
      </c>
      <c r="F13" s="25"/>
      <c r="G13" s="25"/>
      <c r="H13" s="25"/>
      <c r="I13" s="25">
        <v>260</v>
      </c>
      <c r="J13" s="25"/>
      <c r="K13" s="25"/>
      <c r="L13" s="25">
        <f t="shared" si="1"/>
        <v>2925</v>
      </c>
      <c r="M13" s="25"/>
    </row>
    <row r="14" spans="1:13" ht="19.5" customHeight="1">
      <c r="A14" s="16" t="s">
        <v>64</v>
      </c>
      <c r="B14" s="25">
        <v>9</v>
      </c>
      <c r="C14" s="25">
        <v>5850</v>
      </c>
      <c r="D14" s="25"/>
      <c r="E14" s="25">
        <v>195</v>
      </c>
      <c r="F14" s="25"/>
      <c r="G14" s="25"/>
      <c r="H14" s="25"/>
      <c r="I14" s="25">
        <v>260</v>
      </c>
      <c r="J14" s="25">
        <v>325</v>
      </c>
      <c r="K14" s="25"/>
      <c r="L14" s="25">
        <f t="shared" si="1"/>
        <v>6630</v>
      </c>
      <c r="M14" s="25"/>
    </row>
    <row r="15" spans="1:13" s="32" customFormat="1" ht="19.5" customHeight="1">
      <c r="A15" s="30" t="s">
        <v>28</v>
      </c>
      <c r="B15" s="31">
        <v>9.65</v>
      </c>
      <c r="C15" s="31">
        <v>6650</v>
      </c>
      <c r="D15" s="31"/>
      <c r="E15" s="31">
        <v>302.1</v>
      </c>
      <c r="F15" s="31">
        <v>19.5</v>
      </c>
      <c r="G15" s="31"/>
      <c r="H15" s="31"/>
      <c r="I15" s="31">
        <v>260</v>
      </c>
      <c r="J15" s="31"/>
      <c r="K15" s="31"/>
      <c r="L15" s="31">
        <f t="shared" si="1"/>
        <v>7231.6</v>
      </c>
      <c r="M15" s="31"/>
    </row>
    <row r="16" spans="1:13" ht="19.5" customHeight="1">
      <c r="A16" s="16" t="s">
        <v>65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>
        <f t="shared" si="1"/>
        <v>0</v>
      </c>
      <c r="M16" s="25"/>
    </row>
    <row r="17" spans="1:13" s="27" customFormat="1" ht="19.5" customHeight="1">
      <c r="A17" s="18" t="s">
        <v>54</v>
      </c>
      <c r="B17" s="26">
        <f aca="true" t="shared" si="2" ref="B17:K17">SUM(B6+B7+B8+B9+B10+B11+B12+B13+B14+B15+B16)</f>
        <v>83.7</v>
      </c>
      <c r="C17" s="26">
        <f t="shared" si="2"/>
        <v>55705</v>
      </c>
      <c r="D17" s="26"/>
      <c r="E17" s="26">
        <f t="shared" si="2"/>
        <v>2155.3</v>
      </c>
      <c r="F17" s="26">
        <f t="shared" si="2"/>
        <v>78</v>
      </c>
      <c r="G17" s="26"/>
      <c r="H17" s="26">
        <f t="shared" si="2"/>
        <v>0</v>
      </c>
      <c r="I17" s="26">
        <f t="shared" si="2"/>
        <v>2600</v>
      </c>
      <c r="J17" s="26">
        <f t="shared" si="2"/>
        <v>1300</v>
      </c>
      <c r="K17" s="26">
        <f t="shared" si="2"/>
        <v>223.5</v>
      </c>
      <c r="L17" s="26">
        <f>SUM(L6+L7+L8+L9+L10+L11+L12+L13+L14+L15+L16)</f>
        <v>62061.799999999996</v>
      </c>
      <c r="M17" s="33"/>
    </row>
    <row r="18" spans="1:13" ht="19.5" customHeight="1">
      <c r="A18" s="16" t="s">
        <v>30</v>
      </c>
      <c r="B18" s="25">
        <v>10.5</v>
      </c>
      <c r="C18" s="25">
        <v>7181</v>
      </c>
      <c r="D18" s="25"/>
      <c r="E18" s="25">
        <v>325</v>
      </c>
      <c r="F18" s="25"/>
      <c r="G18" s="25"/>
      <c r="H18" s="25"/>
      <c r="I18" s="25">
        <v>260</v>
      </c>
      <c r="J18" s="25"/>
      <c r="K18" s="25"/>
      <c r="L18" s="25">
        <f>SUM(C18+E18+H18+I18+K18+F18)</f>
        <v>7766</v>
      </c>
      <c r="M18" s="25"/>
    </row>
    <row r="19" spans="1:13" ht="19.5" customHeight="1">
      <c r="A19" s="16" t="s">
        <v>55</v>
      </c>
      <c r="B19" s="25">
        <v>24</v>
      </c>
      <c r="C19" s="25">
        <v>15956</v>
      </c>
      <c r="D19" s="25"/>
      <c r="E19" s="25">
        <v>1105</v>
      </c>
      <c r="F19" s="25"/>
      <c r="G19" s="25">
        <v>650</v>
      </c>
      <c r="H19" s="25"/>
      <c r="I19" s="25">
        <v>260</v>
      </c>
      <c r="J19" s="25"/>
      <c r="K19" s="25"/>
      <c r="L19" s="25">
        <f>SUM(C19+E19+H19+I19+K19+F19+G19)</f>
        <v>17971</v>
      </c>
      <c r="M19" s="25"/>
    </row>
    <row r="20" spans="1:13" ht="19.5" customHeight="1">
      <c r="A20" s="16" t="s">
        <v>56</v>
      </c>
      <c r="B20" s="25">
        <v>15.5</v>
      </c>
      <c r="C20" s="25">
        <v>10340</v>
      </c>
      <c r="D20" s="25"/>
      <c r="E20" s="25">
        <v>390</v>
      </c>
      <c r="F20" s="25"/>
      <c r="G20" s="25"/>
      <c r="H20" s="25"/>
      <c r="I20" s="25">
        <v>520</v>
      </c>
      <c r="J20" s="25"/>
      <c r="K20" s="25"/>
      <c r="L20" s="25">
        <f>SUM(C20+E20+H20+I20+K20+F20)</f>
        <v>11250</v>
      </c>
      <c r="M20" s="25"/>
    </row>
    <row r="21" spans="1:13" ht="19.5" customHeight="1">
      <c r="A21" s="18" t="s">
        <v>57</v>
      </c>
      <c r="B21" s="26">
        <f aca="true" t="shared" si="3" ref="B21:K21">SUM(B18+B19+B20)</f>
        <v>50</v>
      </c>
      <c r="C21" s="26">
        <f t="shared" si="3"/>
        <v>33477</v>
      </c>
      <c r="D21" s="26"/>
      <c r="E21" s="26">
        <f t="shared" si="3"/>
        <v>1820</v>
      </c>
      <c r="F21" s="26">
        <f t="shared" si="3"/>
        <v>0</v>
      </c>
      <c r="G21" s="26">
        <f t="shared" si="3"/>
        <v>650</v>
      </c>
      <c r="H21" s="26">
        <f t="shared" si="3"/>
        <v>0</v>
      </c>
      <c r="I21" s="26">
        <f t="shared" si="3"/>
        <v>1040</v>
      </c>
      <c r="J21" s="26">
        <f t="shared" si="3"/>
        <v>0</v>
      </c>
      <c r="K21" s="26">
        <f t="shared" si="3"/>
        <v>0</v>
      </c>
      <c r="L21" s="26">
        <f>SUM(L18+L19+L20)</f>
        <v>36987</v>
      </c>
      <c r="M21" s="25"/>
    </row>
    <row r="22" spans="1:13" ht="19.5" customHeight="1">
      <c r="A22" s="16" t="s">
        <v>66</v>
      </c>
      <c r="B22" s="25">
        <v>8.75</v>
      </c>
      <c r="C22" s="25">
        <v>5687.5</v>
      </c>
      <c r="D22" s="25"/>
      <c r="E22" s="25">
        <v>211.25</v>
      </c>
      <c r="F22" s="25"/>
      <c r="G22" s="25"/>
      <c r="H22" s="25"/>
      <c r="I22" s="25">
        <v>260</v>
      </c>
      <c r="J22" s="25"/>
      <c r="K22" s="25"/>
      <c r="L22" s="25">
        <f>SUM(C22+E22+H22+I22+K22+F22)</f>
        <v>6158.75</v>
      </c>
      <c r="M22" s="25"/>
    </row>
    <row r="23" spans="1:13" ht="19.5" customHeight="1">
      <c r="A23" s="16" t="s">
        <v>67</v>
      </c>
      <c r="B23" s="25">
        <v>9.5</v>
      </c>
      <c r="C23" s="25">
        <v>6175</v>
      </c>
      <c r="D23" s="25"/>
      <c r="E23" s="25">
        <v>195</v>
      </c>
      <c r="F23" s="25"/>
      <c r="G23" s="25"/>
      <c r="H23" s="25"/>
      <c r="I23" s="25">
        <v>260</v>
      </c>
      <c r="J23" s="25">
        <v>325</v>
      </c>
      <c r="K23" s="25"/>
      <c r="L23" s="25">
        <f>SUM(C23+E23+F23+G23+H23+I23+J23+K23)</f>
        <v>6955</v>
      </c>
      <c r="M23" s="25"/>
    </row>
    <row r="24" spans="1:13" ht="19.5" customHeight="1">
      <c r="A24" s="16" t="s">
        <v>68</v>
      </c>
      <c r="B24" s="25">
        <v>11.25</v>
      </c>
      <c r="C24" s="25">
        <v>7312.5</v>
      </c>
      <c r="D24" s="25"/>
      <c r="E24" s="25">
        <v>406.25</v>
      </c>
      <c r="F24" s="25"/>
      <c r="G24" s="25"/>
      <c r="H24" s="25"/>
      <c r="I24" s="25">
        <v>260</v>
      </c>
      <c r="J24" s="25"/>
      <c r="K24" s="25"/>
      <c r="L24" s="25">
        <f aca="true" t="shared" si="4" ref="L24:L36">SUM(C24+E24+F24+G24+H24+I24+J24+K24)</f>
        <v>7978.75</v>
      </c>
      <c r="M24" s="25"/>
    </row>
    <row r="25" spans="1:13" ht="19.5" customHeight="1">
      <c r="A25" s="16" t="s">
        <v>69</v>
      </c>
      <c r="B25" s="25">
        <v>21.5</v>
      </c>
      <c r="C25" s="25">
        <v>14513</v>
      </c>
      <c r="D25" s="25"/>
      <c r="E25" s="25">
        <v>650</v>
      </c>
      <c r="F25" s="25"/>
      <c r="G25" s="25"/>
      <c r="H25" s="25">
        <v>173</v>
      </c>
      <c r="I25" s="25">
        <v>260</v>
      </c>
      <c r="J25" s="25">
        <v>325</v>
      </c>
      <c r="K25" s="25">
        <v>346</v>
      </c>
      <c r="L25" s="25">
        <f t="shared" si="4"/>
        <v>16267</v>
      </c>
      <c r="M25" s="25"/>
    </row>
    <row r="26" spans="1:13" s="32" customFormat="1" ht="19.5" customHeight="1">
      <c r="A26" s="30" t="s">
        <v>36</v>
      </c>
      <c r="B26" s="31">
        <v>11.75</v>
      </c>
      <c r="C26" s="31">
        <v>7994</v>
      </c>
      <c r="D26" s="31"/>
      <c r="E26" s="31">
        <v>436.5</v>
      </c>
      <c r="F26" s="31">
        <v>19.5</v>
      </c>
      <c r="G26" s="31"/>
      <c r="H26" s="31"/>
      <c r="I26" s="31">
        <v>260</v>
      </c>
      <c r="J26" s="31"/>
      <c r="K26" s="31"/>
      <c r="L26" s="31">
        <f t="shared" si="4"/>
        <v>8710</v>
      </c>
      <c r="M26" s="31"/>
    </row>
    <row r="27" spans="1:13" ht="19.5" customHeight="1">
      <c r="A27" s="16" t="s">
        <v>70</v>
      </c>
      <c r="B27" s="25">
        <v>10.5</v>
      </c>
      <c r="C27" s="25">
        <v>7069</v>
      </c>
      <c r="D27" s="25"/>
      <c r="E27" s="25">
        <v>195</v>
      </c>
      <c r="F27" s="25"/>
      <c r="G27" s="25"/>
      <c r="H27" s="25"/>
      <c r="I27" s="25">
        <v>260</v>
      </c>
      <c r="J27" s="25">
        <v>325</v>
      </c>
      <c r="K27" s="25"/>
      <c r="L27" s="25">
        <f t="shared" si="4"/>
        <v>7849</v>
      </c>
      <c r="M27" s="25"/>
    </row>
    <row r="28" spans="1:13" ht="19.5" customHeight="1">
      <c r="A28" s="16" t="s">
        <v>71</v>
      </c>
      <c r="B28" s="25">
        <v>11.25</v>
      </c>
      <c r="C28" s="25">
        <v>7577.5</v>
      </c>
      <c r="D28" s="25"/>
      <c r="E28" s="25">
        <v>308.75</v>
      </c>
      <c r="F28" s="25"/>
      <c r="G28" s="25"/>
      <c r="H28" s="25"/>
      <c r="I28" s="25">
        <v>260</v>
      </c>
      <c r="J28" s="25"/>
      <c r="K28" s="25"/>
      <c r="L28" s="25">
        <f t="shared" si="4"/>
        <v>8146.25</v>
      </c>
      <c r="M28" s="25"/>
    </row>
    <row r="29" spans="1:13" ht="19.5" customHeight="1">
      <c r="A29" s="19" t="s">
        <v>72</v>
      </c>
      <c r="B29" s="25">
        <v>16.75</v>
      </c>
      <c r="C29" s="25">
        <v>11152.5</v>
      </c>
      <c r="D29" s="25"/>
      <c r="E29" s="25">
        <v>471.25</v>
      </c>
      <c r="F29" s="25"/>
      <c r="G29" s="25"/>
      <c r="H29" s="25"/>
      <c r="I29" s="25">
        <v>260</v>
      </c>
      <c r="J29" s="25">
        <v>325</v>
      </c>
      <c r="K29" s="25"/>
      <c r="L29" s="25">
        <f t="shared" si="4"/>
        <v>12208.75</v>
      </c>
      <c r="M29" s="25"/>
    </row>
    <row r="30" spans="1:13" ht="19.5" customHeight="1">
      <c r="A30" s="16" t="s">
        <v>73</v>
      </c>
      <c r="B30" s="25">
        <v>17.54</v>
      </c>
      <c r="C30" s="25">
        <v>11666</v>
      </c>
      <c r="D30" s="25"/>
      <c r="E30" s="25">
        <v>438.75</v>
      </c>
      <c r="F30" s="25"/>
      <c r="G30" s="25"/>
      <c r="H30" s="25">
        <v>162.5</v>
      </c>
      <c r="I30" s="25">
        <v>631.43</v>
      </c>
      <c r="J30" s="25"/>
      <c r="K30" s="25">
        <v>325</v>
      </c>
      <c r="L30" s="25">
        <f t="shared" si="4"/>
        <v>13223.68</v>
      </c>
      <c r="M30" s="25"/>
    </row>
    <row r="31" spans="1:13" s="32" customFormat="1" ht="19.5" customHeight="1">
      <c r="A31" s="30" t="s">
        <v>41</v>
      </c>
      <c r="B31" s="31">
        <v>12.4</v>
      </c>
      <c r="C31" s="31">
        <v>8437.5</v>
      </c>
      <c r="D31" s="31"/>
      <c r="E31" s="31">
        <v>415.85</v>
      </c>
      <c r="F31" s="31">
        <v>19.5</v>
      </c>
      <c r="G31" s="31"/>
      <c r="H31" s="31"/>
      <c r="I31" s="31">
        <v>260</v>
      </c>
      <c r="J31" s="31"/>
      <c r="K31" s="31"/>
      <c r="L31" s="31">
        <f t="shared" si="4"/>
        <v>9132.85</v>
      </c>
      <c r="M31" s="31"/>
    </row>
    <row r="32" spans="1:13" ht="19.5" customHeight="1">
      <c r="A32" s="16" t="s">
        <v>74</v>
      </c>
      <c r="B32" s="25">
        <v>10.5</v>
      </c>
      <c r="C32" s="25">
        <v>7069</v>
      </c>
      <c r="D32" s="25"/>
      <c r="E32" s="25">
        <v>260</v>
      </c>
      <c r="F32" s="25"/>
      <c r="G32" s="25"/>
      <c r="H32" s="25"/>
      <c r="I32" s="25">
        <v>260</v>
      </c>
      <c r="J32" s="25"/>
      <c r="K32" s="25"/>
      <c r="L32" s="25">
        <f t="shared" si="4"/>
        <v>7589</v>
      </c>
      <c r="M32" s="25"/>
    </row>
    <row r="33" spans="1:13" ht="19.5" customHeight="1">
      <c r="A33" s="16" t="s">
        <v>75</v>
      </c>
      <c r="B33" s="25">
        <v>8.75</v>
      </c>
      <c r="C33" s="25">
        <v>5931.5</v>
      </c>
      <c r="D33" s="25"/>
      <c r="E33" s="25">
        <v>113.75</v>
      </c>
      <c r="F33" s="25"/>
      <c r="G33" s="25"/>
      <c r="H33" s="25"/>
      <c r="I33" s="25">
        <v>260</v>
      </c>
      <c r="J33" s="25"/>
      <c r="K33" s="25">
        <v>325</v>
      </c>
      <c r="L33" s="25">
        <f t="shared" si="4"/>
        <v>6630.25</v>
      </c>
      <c r="M33" s="25"/>
    </row>
    <row r="34" spans="1:13" s="32" customFormat="1" ht="19.5" customHeight="1">
      <c r="A34" s="30" t="s">
        <v>44</v>
      </c>
      <c r="B34" s="31">
        <v>12.15</v>
      </c>
      <c r="C34" s="31">
        <v>8275</v>
      </c>
      <c r="D34" s="31"/>
      <c r="E34" s="31">
        <v>334.6</v>
      </c>
      <c r="F34" s="31">
        <v>19.5</v>
      </c>
      <c r="G34" s="31"/>
      <c r="H34" s="31"/>
      <c r="I34" s="31">
        <v>260</v>
      </c>
      <c r="J34" s="31"/>
      <c r="K34" s="31"/>
      <c r="L34" s="31">
        <f t="shared" si="4"/>
        <v>8889.1</v>
      </c>
      <c r="M34" s="31"/>
    </row>
    <row r="35" spans="1:13" ht="19.5" customHeight="1">
      <c r="A35" s="16" t="s">
        <v>76</v>
      </c>
      <c r="B35" s="25">
        <v>9</v>
      </c>
      <c r="C35" s="25">
        <v>5850</v>
      </c>
      <c r="D35" s="25"/>
      <c r="E35" s="25">
        <v>227.5</v>
      </c>
      <c r="F35" s="25"/>
      <c r="G35" s="25"/>
      <c r="H35" s="25"/>
      <c r="I35" s="25">
        <v>260</v>
      </c>
      <c r="J35" s="25"/>
      <c r="K35" s="25">
        <v>325</v>
      </c>
      <c r="L35" s="25">
        <f t="shared" si="4"/>
        <v>6662.5</v>
      </c>
      <c r="M35" s="25"/>
    </row>
    <row r="36" spans="1:13" ht="19.5" customHeight="1">
      <c r="A36" s="16" t="s">
        <v>77</v>
      </c>
      <c r="B36" s="25">
        <v>9.5</v>
      </c>
      <c r="C36" s="25">
        <v>6175</v>
      </c>
      <c r="D36" s="25"/>
      <c r="E36" s="25">
        <v>227.5</v>
      </c>
      <c r="F36" s="25"/>
      <c r="G36" s="25"/>
      <c r="H36" s="25"/>
      <c r="I36" s="25">
        <v>260</v>
      </c>
      <c r="J36" s="25">
        <v>325</v>
      </c>
      <c r="K36" s="25"/>
      <c r="L36" s="25">
        <f t="shared" si="4"/>
        <v>6987.5</v>
      </c>
      <c r="M36" s="25"/>
    </row>
    <row r="37" spans="1:13" ht="19.5" customHeight="1">
      <c r="A37" s="18" t="s">
        <v>58</v>
      </c>
      <c r="B37" s="26">
        <f aca="true" t="shared" si="5" ref="B37:K37">SUM(B22+B23+B24+B25+B26+B27+B28+B29+B30+B31+B32+B33+B34+B35+B36)</f>
        <v>181.09</v>
      </c>
      <c r="C37" s="26">
        <f t="shared" si="5"/>
        <v>120885</v>
      </c>
      <c r="D37" s="26"/>
      <c r="E37" s="26">
        <f t="shared" si="5"/>
        <v>4891.950000000001</v>
      </c>
      <c r="F37" s="26">
        <f t="shared" si="5"/>
        <v>58.5</v>
      </c>
      <c r="G37" s="26"/>
      <c r="H37" s="26">
        <f t="shared" si="5"/>
        <v>335.5</v>
      </c>
      <c r="I37" s="26">
        <f t="shared" si="5"/>
        <v>4271.43</v>
      </c>
      <c r="J37" s="26">
        <f t="shared" si="5"/>
        <v>1625</v>
      </c>
      <c r="K37" s="26">
        <f t="shared" si="5"/>
        <v>1321</v>
      </c>
      <c r="L37" s="26">
        <f>SUM(L22+L23+L24+L25+L26+L27+L28+L29+L30+L31+L32+L33+L34+L35+L36)</f>
        <v>133388.38</v>
      </c>
      <c r="M37" s="25"/>
    </row>
    <row r="38" spans="1:13" ht="19.5" customHeight="1">
      <c r="A38" s="21" t="s">
        <v>99</v>
      </c>
      <c r="B38" s="25">
        <f>SUM(B3+B4+B6+B7+B9+B10+B12+B13+B14+B18+B19+B20+B22+B23+B24+B25+B27+B28+B29+B30+B32+B33+B35+B36)</f>
        <v>247.79</v>
      </c>
      <c r="C38" s="25">
        <f aca="true" t="shared" si="6" ref="C38:L38">SUM(C3+C4+C6+C7+C9+C10+C12+C13+C14+C18+C19+C20+C22+C23+C24+C25+C27+C28+C29+C30+C32+C33+C35+C36)</f>
        <v>164105.5</v>
      </c>
      <c r="D38" s="25"/>
      <c r="E38" s="25">
        <f t="shared" si="6"/>
        <v>6727.5</v>
      </c>
      <c r="F38" s="25">
        <f t="shared" si="6"/>
        <v>0</v>
      </c>
      <c r="G38" s="25">
        <f t="shared" si="6"/>
        <v>650</v>
      </c>
      <c r="H38" s="25">
        <f t="shared" si="6"/>
        <v>335.5</v>
      </c>
      <c r="I38" s="25">
        <f t="shared" si="6"/>
        <v>6351.43</v>
      </c>
      <c r="J38" s="25">
        <f t="shared" si="6"/>
        <v>2600</v>
      </c>
      <c r="K38" s="25">
        <f t="shared" si="6"/>
        <v>1321</v>
      </c>
      <c r="L38" s="25">
        <f t="shared" si="6"/>
        <v>182090.93</v>
      </c>
      <c r="M38" s="25"/>
    </row>
    <row r="39" spans="1:13" ht="19.5" customHeight="1">
      <c r="A39" s="20" t="s">
        <v>105</v>
      </c>
      <c r="B39" s="25">
        <f>SUM(B8+B11+B15+B26+B31+B34)</f>
        <v>70</v>
      </c>
      <c r="C39" s="25">
        <f aca="true" t="shared" si="7" ref="C39:L39">SUM(C8+C11+C15+C26+C31+C34)</f>
        <v>47911.5</v>
      </c>
      <c r="D39" s="25"/>
      <c r="E39" s="25">
        <f t="shared" si="7"/>
        <v>2237.25</v>
      </c>
      <c r="F39" s="25">
        <f t="shared" si="7"/>
        <v>136.5</v>
      </c>
      <c r="G39" s="25">
        <f t="shared" si="7"/>
        <v>0</v>
      </c>
      <c r="H39" s="25">
        <f t="shared" si="7"/>
        <v>0</v>
      </c>
      <c r="I39" s="25">
        <f t="shared" si="7"/>
        <v>1560</v>
      </c>
      <c r="J39" s="25">
        <f t="shared" si="7"/>
        <v>325</v>
      </c>
      <c r="K39" s="25">
        <f t="shared" si="7"/>
        <v>223.5</v>
      </c>
      <c r="L39" s="25">
        <f t="shared" si="7"/>
        <v>52393.75</v>
      </c>
      <c r="M39" s="25"/>
    </row>
    <row r="40" spans="1:13" s="29" customFormat="1" ht="19.5" customHeight="1">
      <c r="A40" s="22" t="s">
        <v>59</v>
      </c>
      <c r="B40" s="28">
        <f>SUM(B37,B21,B17,B5)</f>
        <v>317.79</v>
      </c>
      <c r="C40" s="28">
        <f>SUM(C5+C17+C21+C37)</f>
        <v>212017</v>
      </c>
      <c r="D40" s="28"/>
      <c r="E40" s="28">
        <f>SUM(E5+E17+E21+E37)</f>
        <v>8964.75</v>
      </c>
      <c r="F40" s="28">
        <f>SUM(F17+F21+F5+F37)</f>
        <v>136.5</v>
      </c>
      <c r="G40" s="28">
        <f aca="true" t="shared" si="8" ref="G40:L40">SUM(G17+G21+G5+G37)</f>
        <v>650</v>
      </c>
      <c r="H40" s="28">
        <f t="shared" si="8"/>
        <v>335.5</v>
      </c>
      <c r="I40" s="28">
        <f t="shared" si="8"/>
        <v>7911.43</v>
      </c>
      <c r="J40" s="28">
        <f t="shared" si="8"/>
        <v>2925</v>
      </c>
      <c r="K40" s="28">
        <f t="shared" si="8"/>
        <v>1544.5</v>
      </c>
      <c r="L40" s="28">
        <f t="shared" si="8"/>
        <v>234484.68</v>
      </c>
      <c r="M40" s="28"/>
    </row>
    <row r="41" spans="1:13" s="29" customFormat="1" ht="15.75" customHeight="1">
      <c r="A41" s="2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29" customFormat="1" ht="15.75" customHeight="1">
      <c r="A42" s="22" t="s">
        <v>115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s="29" customFormat="1" ht="15.75" customHeight="1">
      <c r="A43" s="22"/>
      <c r="B43" s="140" t="s">
        <v>83</v>
      </c>
      <c r="C43" s="146" t="s">
        <v>102</v>
      </c>
      <c r="D43" s="146" t="s">
        <v>104</v>
      </c>
      <c r="E43" s="139">
        <v>0.1</v>
      </c>
      <c r="F43" s="143">
        <v>0.12</v>
      </c>
      <c r="G43" s="28"/>
      <c r="H43" s="28"/>
      <c r="I43" s="28"/>
      <c r="J43" s="149" t="s">
        <v>86</v>
      </c>
      <c r="K43" s="139">
        <v>0.5</v>
      </c>
      <c r="L43" s="140" t="s">
        <v>101</v>
      </c>
      <c r="M43" s="149"/>
    </row>
    <row r="44" spans="1:13" s="29" customFormat="1" ht="15.75" customHeight="1">
      <c r="A44" s="22"/>
      <c r="B44" s="140"/>
      <c r="C44" s="147"/>
      <c r="D44" s="147"/>
      <c r="E44" s="140"/>
      <c r="F44" s="144"/>
      <c r="G44" s="28"/>
      <c r="H44" s="28"/>
      <c r="I44" s="28"/>
      <c r="J44" s="150"/>
      <c r="K44" s="140"/>
      <c r="L44" s="140"/>
      <c r="M44" s="150"/>
    </row>
    <row r="45" spans="1:13" ht="15.75" customHeight="1">
      <c r="A45" s="30" t="s">
        <v>106</v>
      </c>
      <c r="B45" s="25">
        <v>32.3</v>
      </c>
      <c r="C45" s="25">
        <v>27980.5</v>
      </c>
      <c r="D45" s="25"/>
      <c r="E45" s="25">
        <v>830</v>
      </c>
      <c r="F45" s="25">
        <v>136.5</v>
      </c>
      <c r="G45" s="25"/>
      <c r="H45" s="25"/>
      <c r="I45" s="25">
        <v>260</v>
      </c>
      <c r="J45" s="25">
        <v>3986.8</v>
      </c>
      <c r="K45" s="25">
        <v>471.5</v>
      </c>
      <c r="L45" s="25">
        <v>33665.3</v>
      </c>
      <c r="M45" s="25"/>
    </row>
    <row r="46" spans="1:13" ht="15.75" customHeight="1">
      <c r="A46" s="30" t="s">
        <v>107</v>
      </c>
      <c r="B46" s="25">
        <v>12.4</v>
      </c>
      <c r="C46" s="25">
        <v>11068.76</v>
      </c>
      <c r="D46" s="25"/>
      <c r="E46" s="25">
        <v>246.7</v>
      </c>
      <c r="F46" s="25">
        <v>37.8</v>
      </c>
      <c r="G46" s="25"/>
      <c r="H46" s="25"/>
      <c r="I46" s="25">
        <v>260</v>
      </c>
      <c r="J46" s="25">
        <v>1137.23</v>
      </c>
      <c r="K46" s="25">
        <v>235.75</v>
      </c>
      <c r="L46" s="25">
        <v>12987.44</v>
      </c>
      <c r="M46" s="25"/>
    </row>
    <row r="47" spans="1:13" ht="15.75" customHeight="1">
      <c r="A47" s="30" t="s">
        <v>108</v>
      </c>
      <c r="B47" s="25">
        <v>20.1</v>
      </c>
      <c r="C47" s="25">
        <v>17829</v>
      </c>
      <c r="D47" s="25"/>
      <c r="E47" s="25">
        <v>493.4</v>
      </c>
      <c r="F47" s="25">
        <v>78</v>
      </c>
      <c r="G47" s="25"/>
      <c r="H47" s="25"/>
      <c r="I47" s="25">
        <v>260</v>
      </c>
      <c r="J47" s="25">
        <v>2036.5</v>
      </c>
      <c r="K47" s="25">
        <v>235.75</v>
      </c>
      <c r="L47" s="25">
        <v>20932.65</v>
      </c>
      <c r="M47" s="25"/>
    </row>
    <row r="48" spans="1:13" ht="15.75" customHeight="1">
      <c r="A48" s="30" t="s">
        <v>109</v>
      </c>
      <c r="B48" s="25">
        <v>37.35</v>
      </c>
      <c r="C48" s="25">
        <v>31857.96</v>
      </c>
      <c r="D48" s="25">
        <v>353.62</v>
      </c>
      <c r="E48" s="25">
        <v>986.8</v>
      </c>
      <c r="F48" s="25">
        <v>136.5</v>
      </c>
      <c r="G48" s="25"/>
      <c r="H48" s="25"/>
      <c r="I48" s="25">
        <v>260</v>
      </c>
      <c r="J48" s="25">
        <v>3819.86</v>
      </c>
      <c r="K48" s="25">
        <v>471.5</v>
      </c>
      <c r="L48" s="25">
        <v>37886.24</v>
      </c>
      <c r="M48" s="25"/>
    </row>
    <row r="49" spans="1:13" ht="15.75" customHeight="1">
      <c r="A49" s="30" t="s">
        <v>110</v>
      </c>
      <c r="B49" s="25">
        <v>7.5</v>
      </c>
      <c r="C49" s="25">
        <v>6577.3</v>
      </c>
      <c r="D49" s="25"/>
      <c r="E49" s="25">
        <v>155.85</v>
      </c>
      <c r="F49" s="25">
        <v>19.5</v>
      </c>
      <c r="G49" s="25"/>
      <c r="H49" s="25"/>
      <c r="I49" s="25">
        <v>260</v>
      </c>
      <c r="J49" s="25">
        <v>148.5</v>
      </c>
      <c r="K49" s="25"/>
      <c r="L49" s="25">
        <v>7161.15</v>
      </c>
      <c r="M49" s="25"/>
    </row>
    <row r="50" spans="1:13" ht="15.75" customHeight="1">
      <c r="A50" s="30" t="s">
        <v>111</v>
      </c>
      <c r="B50" s="25">
        <v>6.25</v>
      </c>
      <c r="C50" s="25">
        <v>5832.75</v>
      </c>
      <c r="D50" s="25"/>
      <c r="E50" s="25">
        <v>163.75</v>
      </c>
      <c r="F50" s="25">
        <v>19.5</v>
      </c>
      <c r="G50" s="25"/>
      <c r="H50" s="25"/>
      <c r="I50" s="25"/>
      <c r="J50" s="25">
        <v>388.63</v>
      </c>
      <c r="K50" s="25"/>
      <c r="L50" s="25">
        <v>6403.33</v>
      </c>
      <c r="M50" s="25"/>
    </row>
    <row r="51" spans="1:13" ht="15.75" customHeight="1">
      <c r="A51" s="30" t="s">
        <v>112</v>
      </c>
      <c r="B51" s="25">
        <v>9.4</v>
      </c>
      <c r="C51" s="25">
        <v>8216.8</v>
      </c>
      <c r="D51" s="25"/>
      <c r="E51" s="25">
        <v>246.7</v>
      </c>
      <c r="F51" s="25">
        <v>39</v>
      </c>
      <c r="G51" s="25"/>
      <c r="H51" s="25"/>
      <c r="I51" s="25"/>
      <c r="J51" s="25">
        <v>311.33</v>
      </c>
      <c r="K51" s="25"/>
      <c r="L51" s="25">
        <v>8813.83</v>
      </c>
      <c r="M51" s="25"/>
    </row>
    <row r="52" spans="1:13" ht="15.75" customHeight="1">
      <c r="A52" s="30" t="s">
        <v>113</v>
      </c>
      <c r="B52" s="25">
        <v>6.75</v>
      </c>
      <c r="C52" s="25">
        <v>6202.25</v>
      </c>
      <c r="D52" s="25"/>
      <c r="E52" s="25">
        <v>163.75</v>
      </c>
      <c r="F52" s="25">
        <v>19.5</v>
      </c>
      <c r="G52" s="25"/>
      <c r="H52" s="25"/>
      <c r="I52" s="25"/>
      <c r="J52" s="25">
        <v>858.38</v>
      </c>
      <c r="K52" s="25"/>
      <c r="L52" s="25">
        <v>7243.88</v>
      </c>
      <c r="M52" s="25"/>
    </row>
    <row r="53" spans="1:13" ht="15.75" customHeight="1">
      <c r="A53" s="30" t="s">
        <v>114</v>
      </c>
      <c r="B53" s="25">
        <v>24.75</v>
      </c>
      <c r="C53" s="25">
        <v>21057.21</v>
      </c>
      <c r="D53" s="25"/>
      <c r="E53" s="25">
        <v>616.75</v>
      </c>
      <c r="F53" s="25">
        <v>97.5</v>
      </c>
      <c r="G53" s="25"/>
      <c r="H53" s="25"/>
      <c r="I53" s="25">
        <v>260</v>
      </c>
      <c r="J53" s="25">
        <v>1882.34</v>
      </c>
      <c r="K53" s="25">
        <v>471.5</v>
      </c>
      <c r="L53" s="25">
        <v>24385.3</v>
      </c>
      <c r="M53" s="25"/>
    </row>
    <row r="54" spans="1:13" ht="19.5" customHeight="1">
      <c r="A54" s="28" t="s">
        <v>116</v>
      </c>
      <c r="B54" s="28">
        <f>SUM(B45+B46+B47+B48+B49+B50+B51+B52+B53)</f>
        <v>156.8</v>
      </c>
      <c r="C54" s="28">
        <f aca="true" t="shared" si="9" ref="C54:L54">SUM(C45+C46+C47+C48+C49+C50+C51+C52+C53)</f>
        <v>136622.53</v>
      </c>
      <c r="D54" s="28">
        <f t="shared" si="9"/>
        <v>353.62</v>
      </c>
      <c r="E54" s="28">
        <f t="shared" si="9"/>
        <v>3903.6999999999994</v>
      </c>
      <c r="F54" s="28">
        <f t="shared" si="9"/>
        <v>583.8</v>
      </c>
      <c r="G54" s="28">
        <f t="shared" si="9"/>
        <v>0</v>
      </c>
      <c r="H54" s="28">
        <f t="shared" si="9"/>
        <v>0</v>
      </c>
      <c r="I54" s="28">
        <f t="shared" si="9"/>
        <v>1560</v>
      </c>
      <c r="J54" s="28">
        <f t="shared" si="9"/>
        <v>14569.57</v>
      </c>
      <c r="K54" s="28">
        <f t="shared" si="9"/>
        <v>1886</v>
      </c>
      <c r="L54" s="28">
        <f t="shared" si="9"/>
        <v>159479.12</v>
      </c>
      <c r="M54" s="25"/>
    </row>
    <row r="55" spans="1:13" ht="19.5" customHeight="1">
      <c r="A55" s="25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5"/>
    </row>
    <row r="56" spans="1:13" ht="19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9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</sheetData>
  <sheetProtection/>
  <mergeCells count="22">
    <mergeCell ref="B43:B44"/>
    <mergeCell ref="C43:C44"/>
    <mergeCell ref="D43:D44"/>
    <mergeCell ref="E43:E44"/>
    <mergeCell ref="M43:M44"/>
    <mergeCell ref="F43:F44"/>
    <mergeCell ref="J43:J44"/>
    <mergeCell ref="K43:K44"/>
    <mergeCell ref="L43:L44"/>
    <mergeCell ref="J1:J2"/>
    <mergeCell ref="G1:G2"/>
    <mergeCell ref="M1:M2"/>
    <mergeCell ref="H1:H2"/>
    <mergeCell ref="I1:I2"/>
    <mergeCell ref="K1:K2"/>
    <mergeCell ref="L1:L2"/>
    <mergeCell ref="F1:F2"/>
    <mergeCell ref="A1:A2"/>
    <mergeCell ref="B1:B2"/>
    <mergeCell ref="C1:C2"/>
    <mergeCell ref="E1:E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75" zoomScaleNormal="75" zoomScalePageLayoutView="0" workbookViewId="0" topLeftCell="A1">
      <selection activeCell="L9" sqref="L9"/>
    </sheetView>
  </sheetViews>
  <sheetFormatPr defaultColWidth="9.00390625" defaultRowHeight="12.75"/>
  <cols>
    <col min="1" max="1" width="43.125" style="97" customWidth="1"/>
    <col min="2" max="2" width="18.75390625" style="0" customWidth="1"/>
    <col min="3" max="3" width="15.125" style="0" customWidth="1"/>
    <col min="4" max="4" width="20.875" style="0" customWidth="1"/>
    <col min="5" max="5" width="16.875" style="0" customWidth="1"/>
    <col min="6" max="6" width="18.25390625" style="0" customWidth="1"/>
    <col min="7" max="7" width="14.625" style="0" customWidth="1"/>
    <col min="8" max="8" width="18.375" style="0" customWidth="1"/>
    <col min="9" max="9" width="19.25390625" style="0" customWidth="1"/>
  </cols>
  <sheetData>
    <row r="2" spans="1:8" ht="18">
      <c r="A2" s="151" t="s">
        <v>164</v>
      </c>
      <c r="B2" s="151"/>
      <c r="C2" s="151"/>
      <c r="D2" s="151"/>
      <c r="E2" s="151"/>
      <c r="F2" s="151"/>
      <c r="G2" s="151"/>
      <c r="H2" s="151"/>
    </row>
    <row r="3" spans="1:9" s="136" customFormat="1" ht="180">
      <c r="A3" s="135"/>
      <c r="B3" s="166" t="s">
        <v>156</v>
      </c>
      <c r="C3" s="166" t="s">
        <v>157</v>
      </c>
      <c r="D3" s="166" t="s">
        <v>158</v>
      </c>
      <c r="E3" s="166" t="s">
        <v>159</v>
      </c>
      <c r="F3" s="166" t="s">
        <v>160</v>
      </c>
      <c r="G3" s="166" t="s">
        <v>163</v>
      </c>
      <c r="H3" s="166" t="s">
        <v>161</v>
      </c>
      <c r="I3" s="135" t="s">
        <v>162</v>
      </c>
    </row>
    <row r="4" spans="1:9" ht="18">
      <c r="A4" s="98" t="s">
        <v>0</v>
      </c>
      <c r="B4" s="165"/>
      <c r="C4" s="165"/>
      <c r="D4" s="165"/>
      <c r="E4" s="165"/>
      <c r="F4" s="165"/>
      <c r="G4" s="165"/>
      <c r="H4" s="165"/>
      <c r="I4" s="165"/>
    </row>
    <row r="5" spans="1:9" ht="18">
      <c r="A5" s="98"/>
      <c r="B5" s="165"/>
      <c r="C5" s="165"/>
      <c r="D5" s="165"/>
      <c r="E5" s="165"/>
      <c r="F5" s="165"/>
      <c r="G5" s="165"/>
      <c r="H5" s="165"/>
      <c r="I5" s="165"/>
    </row>
    <row r="6" spans="1:9" ht="18">
      <c r="A6" s="99" t="s">
        <v>19</v>
      </c>
      <c r="B6" s="165">
        <v>147106</v>
      </c>
      <c r="C6" s="165">
        <v>56666</v>
      </c>
      <c r="D6" s="165">
        <v>445</v>
      </c>
      <c r="E6" s="165">
        <v>16702</v>
      </c>
      <c r="F6" s="165">
        <v>210</v>
      </c>
      <c r="G6" s="165">
        <v>444</v>
      </c>
      <c r="H6" s="165">
        <v>1216</v>
      </c>
      <c r="I6" s="165">
        <f>B6+C6+D6+E6+F6+G6+H6</f>
        <v>222789</v>
      </c>
    </row>
    <row r="7" spans="1:9" ht="18.75">
      <c r="A7" s="100" t="s">
        <v>20</v>
      </c>
      <c r="B7" s="165"/>
      <c r="C7" s="165"/>
      <c r="D7" s="165"/>
      <c r="E7" s="165"/>
      <c r="F7" s="165"/>
      <c r="G7" s="165"/>
      <c r="H7" s="165"/>
      <c r="I7" s="165">
        <f aca="true" t="shared" si="0" ref="I7:I32">B7+C7+D7+E7+F7+G7+H7</f>
        <v>0</v>
      </c>
    </row>
    <row r="8" spans="1:9" ht="18">
      <c r="A8" s="99" t="s">
        <v>21</v>
      </c>
      <c r="B8" s="165">
        <v>526575</v>
      </c>
      <c r="C8" s="165">
        <v>199347</v>
      </c>
      <c r="D8" s="165">
        <v>11142</v>
      </c>
      <c r="E8" s="165">
        <v>97572</v>
      </c>
      <c r="F8" s="165">
        <v>320</v>
      </c>
      <c r="G8" s="165">
        <v>1445</v>
      </c>
      <c r="H8" s="165">
        <v>924</v>
      </c>
      <c r="I8" s="165">
        <f t="shared" si="0"/>
        <v>837325</v>
      </c>
    </row>
    <row r="9" spans="1:9" ht="18">
      <c r="A9" s="99" t="s">
        <v>22</v>
      </c>
      <c r="B9" s="165">
        <v>546254</v>
      </c>
      <c r="C9" s="165">
        <v>198064</v>
      </c>
      <c r="D9" s="165">
        <v>11292</v>
      </c>
      <c r="E9" s="165">
        <v>74429</v>
      </c>
      <c r="F9" s="165">
        <v>320</v>
      </c>
      <c r="G9" s="165">
        <v>1973</v>
      </c>
      <c r="H9" s="165">
        <v>924</v>
      </c>
      <c r="I9" s="165">
        <f t="shared" si="0"/>
        <v>833256</v>
      </c>
    </row>
    <row r="10" spans="1:9" ht="18">
      <c r="A10" s="101" t="s">
        <v>23</v>
      </c>
      <c r="B10" s="165">
        <v>1057687</v>
      </c>
      <c r="C10" s="165">
        <v>390462</v>
      </c>
      <c r="D10" s="165">
        <v>22604</v>
      </c>
      <c r="E10" s="165">
        <v>91364</v>
      </c>
      <c r="F10" s="165">
        <v>27140</v>
      </c>
      <c r="G10" s="165">
        <v>2151</v>
      </c>
      <c r="H10" s="165">
        <v>4347</v>
      </c>
      <c r="I10" s="165">
        <f t="shared" si="0"/>
        <v>1595755</v>
      </c>
    </row>
    <row r="11" spans="1:9" ht="18">
      <c r="A11" s="99" t="s">
        <v>25</v>
      </c>
      <c r="B11" s="165">
        <v>808948</v>
      </c>
      <c r="C11" s="165">
        <v>224989</v>
      </c>
      <c r="D11" s="165">
        <v>16651</v>
      </c>
      <c r="E11" s="165">
        <v>71232</v>
      </c>
      <c r="F11" s="165">
        <v>3682</v>
      </c>
      <c r="G11" s="165">
        <v>365</v>
      </c>
      <c r="H11" s="165">
        <v>2205</v>
      </c>
      <c r="I11" s="165">
        <f t="shared" si="0"/>
        <v>1128072</v>
      </c>
    </row>
    <row r="12" spans="1:9" ht="18">
      <c r="A12" s="99" t="s">
        <v>26</v>
      </c>
      <c r="B12" s="165">
        <v>1007269</v>
      </c>
      <c r="C12" s="165">
        <v>414236</v>
      </c>
      <c r="D12" s="165">
        <v>24197</v>
      </c>
      <c r="E12" s="165">
        <v>103020</v>
      </c>
      <c r="F12" s="165">
        <v>250</v>
      </c>
      <c r="G12" s="165">
        <v>2394</v>
      </c>
      <c r="H12" s="165">
        <v>1539</v>
      </c>
      <c r="I12" s="165">
        <f t="shared" si="0"/>
        <v>1552905</v>
      </c>
    </row>
    <row r="13" spans="1:9" ht="18">
      <c r="A13" s="99" t="s">
        <v>27</v>
      </c>
      <c r="B13" s="165">
        <v>1071761</v>
      </c>
      <c r="C13" s="165">
        <v>263267</v>
      </c>
      <c r="D13" s="165">
        <v>14390</v>
      </c>
      <c r="E13" s="165">
        <v>124594</v>
      </c>
      <c r="F13" s="165">
        <v>260</v>
      </c>
      <c r="G13" s="165">
        <v>3851</v>
      </c>
      <c r="H13" s="165">
        <v>1779</v>
      </c>
      <c r="I13" s="165">
        <f t="shared" si="0"/>
        <v>1479902</v>
      </c>
    </row>
    <row r="14" spans="1:9" ht="18">
      <c r="A14" s="99" t="s">
        <v>28</v>
      </c>
      <c r="B14" s="165">
        <v>901851</v>
      </c>
      <c r="C14" s="165">
        <v>343758</v>
      </c>
      <c r="D14" s="165">
        <v>24045</v>
      </c>
      <c r="E14" s="165">
        <v>134124</v>
      </c>
      <c r="F14" s="165">
        <v>230</v>
      </c>
      <c r="G14" s="165">
        <v>2524</v>
      </c>
      <c r="H14" s="165">
        <v>3220</v>
      </c>
      <c r="I14" s="165">
        <f t="shared" si="0"/>
        <v>1409752</v>
      </c>
    </row>
    <row r="15" spans="1:9" ht="18">
      <c r="A15" s="105" t="s">
        <v>29</v>
      </c>
      <c r="B15" s="165"/>
      <c r="C15" s="165"/>
      <c r="D15" s="165"/>
      <c r="E15" s="165"/>
      <c r="F15" s="165"/>
      <c r="G15" s="165"/>
      <c r="H15" s="165"/>
      <c r="I15" s="165">
        <f t="shared" si="0"/>
        <v>0</v>
      </c>
    </row>
    <row r="16" spans="1:9" ht="18">
      <c r="A16" s="99" t="s">
        <v>30</v>
      </c>
      <c r="B16" s="165">
        <v>3906346</v>
      </c>
      <c r="C16" s="165">
        <v>597751</v>
      </c>
      <c r="D16" s="165"/>
      <c r="E16" s="165">
        <v>321115</v>
      </c>
      <c r="F16" s="165">
        <v>7381</v>
      </c>
      <c r="G16" s="165">
        <v>11496</v>
      </c>
      <c r="H16" s="165">
        <v>18357</v>
      </c>
      <c r="I16" s="165">
        <f t="shared" si="0"/>
        <v>4862446</v>
      </c>
    </row>
    <row r="17" spans="1:9" ht="18">
      <c r="A17" s="99" t="s">
        <v>31</v>
      </c>
      <c r="B17" s="165">
        <v>5011544</v>
      </c>
      <c r="C17" s="165">
        <v>1220173</v>
      </c>
      <c r="D17" s="165">
        <v>427379</v>
      </c>
      <c r="E17" s="165">
        <v>534374</v>
      </c>
      <c r="F17" s="165">
        <v>71267</v>
      </c>
      <c r="G17" s="165">
        <v>17348</v>
      </c>
      <c r="H17" s="165">
        <v>309590</v>
      </c>
      <c r="I17" s="165">
        <f t="shared" si="0"/>
        <v>7591675</v>
      </c>
    </row>
    <row r="18" spans="1:9" ht="18">
      <c r="A18" s="99" t="s">
        <v>32</v>
      </c>
      <c r="B18" s="165">
        <v>1915599</v>
      </c>
      <c r="C18" s="165">
        <v>517878</v>
      </c>
      <c r="D18" s="165">
        <v>74718</v>
      </c>
      <c r="E18" s="165">
        <v>189536</v>
      </c>
      <c r="F18" s="165">
        <v>112835</v>
      </c>
      <c r="G18" s="165">
        <v>7923</v>
      </c>
      <c r="H18" s="165">
        <v>35675</v>
      </c>
      <c r="I18" s="165">
        <f t="shared" si="0"/>
        <v>2854164</v>
      </c>
    </row>
    <row r="19" spans="1:9" ht="18.75">
      <c r="A19" s="100" t="s">
        <v>33</v>
      </c>
      <c r="B19" s="165"/>
      <c r="C19" s="165"/>
      <c r="D19" s="165"/>
      <c r="E19" s="165"/>
      <c r="F19" s="165"/>
      <c r="G19" s="165"/>
      <c r="H19" s="165"/>
      <c r="I19" s="165">
        <f t="shared" si="0"/>
        <v>0</v>
      </c>
    </row>
    <row r="20" spans="1:9" ht="18">
      <c r="A20" s="99" t="s">
        <v>34</v>
      </c>
      <c r="B20" s="165">
        <v>711765</v>
      </c>
      <c r="C20" s="165">
        <v>318978</v>
      </c>
      <c r="D20" s="165">
        <v>10151</v>
      </c>
      <c r="E20" s="165">
        <v>146088</v>
      </c>
      <c r="F20" s="165">
        <v>1600</v>
      </c>
      <c r="G20" s="165">
        <v>2592</v>
      </c>
      <c r="H20" s="165">
        <v>3756</v>
      </c>
      <c r="I20" s="165">
        <f t="shared" si="0"/>
        <v>1194930</v>
      </c>
    </row>
    <row r="21" spans="1:9" ht="18">
      <c r="A21" s="99" t="s">
        <v>35</v>
      </c>
      <c r="B21" s="165">
        <v>1587345</v>
      </c>
      <c r="C21" s="165">
        <v>473120</v>
      </c>
      <c r="D21" s="165">
        <v>39237</v>
      </c>
      <c r="E21" s="165">
        <v>199217</v>
      </c>
      <c r="F21" s="165">
        <v>510</v>
      </c>
      <c r="G21" s="165">
        <v>4077</v>
      </c>
      <c r="H21" s="165">
        <v>4009</v>
      </c>
      <c r="I21" s="165">
        <f t="shared" si="0"/>
        <v>2307515</v>
      </c>
    </row>
    <row r="22" spans="1:9" ht="18">
      <c r="A22" s="102" t="s">
        <v>24</v>
      </c>
      <c r="B22" s="165">
        <v>2682024</v>
      </c>
      <c r="C22" s="165">
        <v>848541</v>
      </c>
      <c r="D22" s="165">
        <v>150195</v>
      </c>
      <c r="E22" s="165">
        <v>280175</v>
      </c>
      <c r="F22" s="165">
        <v>56310</v>
      </c>
      <c r="G22" s="165">
        <v>7468</v>
      </c>
      <c r="H22" s="165">
        <v>7991</v>
      </c>
      <c r="I22" s="165">
        <f t="shared" si="0"/>
        <v>4032704</v>
      </c>
    </row>
    <row r="23" spans="1:9" ht="18.75">
      <c r="A23" s="103" t="s">
        <v>36</v>
      </c>
      <c r="B23" s="165">
        <v>1339647</v>
      </c>
      <c r="C23" s="165">
        <v>375542</v>
      </c>
      <c r="D23" s="165">
        <v>18031</v>
      </c>
      <c r="E23" s="165">
        <v>182701</v>
      </c>
      <c r="F23" s="165">
        <v>10010</v>
      </c>
      <c r="G23" s="165">
        <v>8256</v>
      </c>
      <c r="H23" s="165">
        <v>4451</v>
      </c>
      <c r="I23" s="165">
        <f t="shared" si="0"/>
        <v>1938638</v>
      </c>
    </row>
    <row r="24" spans="1:9" ht="18">
      <c r="A24" s="99" t="s">
        <v>37</v>
      </c>
      <c r="B24" s="165">
        <v>1576359</v>
      </c>
      <c r="C24" s="165">
        <v>335027</v>
      </c>
      <c r="D24" s="165">
        <v>49401</v>
      </c>
      <c r="E24" s="165">
        <v>136808</v>
      </c>
      <c r="F24" s="165">
        <v>352</v>
      </c>
      <c r="G24" s="165">
        <v>3287</v>
      </c>
      <c r="H24" s="165">
        <v>1591</v>
      </c>
      <c r="I24" s="165">
        <f t="shared" si="0"/>
        <v>2102825</v>
      </c>
    </row>
    <row r="25" spans="1:9" ht="18">
      <c r="A25" s="99" t="s">
        <v>38</v>
      </c>
      <c r="B25" s="165">
        <v>1847120</v>
      </c>
      <c r="C25" s="165">
        <v>482976</v>
      </c>
      <c r="D25" s="165">
        <v>63754</v>
      </c>
      <c r="E25" s="165">
        <v>224224</v>
      </c>
      <c r="F25" s="165">
        <v>1906</v>
      </c>
      <c r="G25" s="165">
        <v>7280</v>
      </c>
      <c r="H25" s="165">
        <v>3343</v>
      </c>
      <c r="I25" s="165">
        <f t="shared" si="0"/>
        <v>2630603</v>
      </c>
    </row>
    <row r="26" spans="1:9" ht="18">
      <c r="A26" s="99" t="s">
        <v>39</v>
      </c>
      <c r="B26" s="165">
        <v>1917534</v>
      </c>
      <c r="C26" s="165">
        <v>601087</v>
      </c>
      <c r="D26" s="165">
        <v>83572</v>
      </c>
      <c r="E26" s="165">
        <v>176478</v>
      </c>
      <c r="F26" s="165">
        <v>156969</v>
      </c>
      <c r="G26" s="165">
        <v>10097</v>
      </c>
      <c r="H26" s="165">
        <v>11545</v>
      </c>
      <c r="I26" s="165">
        <f t="shared" si="0"/>
        <v>2957282</v>
      </c>
    </row>
    <row r="27" spans="1:9" ht="18">
      <c r="A27" s="99" t="s">
        <v>40</v>
      </c>
      <c r="B27" s="165">
        <v>1758825</v>
      </c>
      <c r="C27" s="165">
        <v>476176</v>
      </c>
      <c r="D27" s="165">
        <v>67572</v>
      </c>
      <c r="E27" s="165">
        <v>219887</v>
      </c>
      <c r="F27" s="165">
        <v>32818</v>
      </c>
      <c r="G27" s="165">
        <v>6442</v>
      </c>
      <c r="H27" s="165">
        <v>14783</v>
      </c>
      <c r="I27" s="165">
        <f t="shared" si="0"/>
        <v>2576503</v>
      </c>
    </row>
    <row r="28" spans="1:9" ht="18.75">
      <c r="A28" s="103" t="s">
        <v>41</v>
      </c>
      <c r="B28" s="165">
        <v>1005453</v>
      </c>
      <c r="C28" s="165">
        <v>448186</v>
      </c>
      <c r="D28" s="165">
        <v>12761</v>
      </c>
      <c r="E28" s="165">
        <v>190358</v>
      </c>
      <c r="F28" s="165">
        <v>670</v>
      </c>
      <c r="G28" s="165">
        <v>6321</v>
      </c>
      <c r="H28" s="165">
        <v>1664</v>
      </c>
      <c r="I28" s="165">
        <f t="shared" si="0"/>
        <v>1665413</v>
      </c>
    </row>
    <row r="29" spans="1:9" ht="18">
      <c r="A29" s="99" t="s">
        <v>42</v>
      </c>
      <c r="B29" s="165">
        <v>1506481</v>
      </c>
      <c r="C29" s="165">
        <v>444462</v>
      </c>
      <c r="D29" s="165">
        <v>45050</v>
      </c>
      <c r="E29" s="165">
        <v>136429</v>
      </c>
      <c r="F29" s="165">
        <v>107767</v>
      </c>
      <c r="G29" s="165">
        <v>1166</v>
      </c>
      <c r="H29" s="165">
        <v>5605</v>
      </c>
      <c r="I29" s="165">
        <f t="shared" si="0"/>
        <v>2246960</v>
      </c>
    </row>
    <row r="30" spans="1:9" ht="18">
      <c r="A30" s="99" t="s">
        <v>43</v>
      </c>
      <c r="B30" s="165">
        <v>1516208</v>
      </c>
      <c r="C30" s="165">
        <v>307500</v>
      </c>
      <c r="D30" s="165">
        <v>35176</v>
      </c>
      <c r="E30" s="165">
        <v>35557</v>
      </c>
      <c r="F30" s="165">
        <v>10742</v>
      </c>
      <c r="G30" s="165">
        <v>6833</v>
      </c>
      <c r="H30" s="165">
        <v>5652</v>
      </c>
      <c r="I30" s="165">
        <f t="shared" si="0"/>
        <v>1917668</v>
      </c>
    </row>
    <row r="31" spans="1:9" ht="18">
      <c r="A31" s="99" t="s">
        <v>45</v>
      </c>
      <c r="B31" s="165">
        <v>1119242</v>
      </c>
      <c r="C31" s="165">
        <v>239383</v>
      </c>
      <c r="D31" s="165">
        <v>10225</v>
      </c>
      <c r="E31" s="165">
        <v>108035</v>
      </c>
      <c r="F31" s="165">
        <v>7514</v>
      </c>
      <c r="G31" s="165">
        <v>1695</v>
      </c>
      <c r="H31" s="165">
        <v>1918</v>
      </c>
      <c r="I31" s="165">
        <f t="shared" si="0"/>
        <v>1488012</v>
      </c>
    </row>
    <row r="32" spans="1:9" ht="18">
      <c r="A32" s="99" t="s">
        <v>46</v>
      </c>
      <c r="B32" s="165">
        <v>917358</v>
      </c>
      <c r="C32" s="165">
        <v>277726</v>
      </c>
      <c r="D32" s="165">
        <v>19931</v>
      </c>
      <c r="E32" s="165">
        <v>250452</v>
      </c>
      <c r="F32" s="165">
        <v>470</v>
      </c>
      <c r="G32" s="165">
        <v>4318</v>
      </c>
      <c r="H32" s="165">
        <v>3084</v>
      </c>
      <c r="I32" s="165">
        <f t="shared" si="0"/>
        <v>1473339</v>
      </c>
    </row>
    <row r="33" spans="1:9" ht="18.75">
      <c r="A33" s="100" t="s">
        <v>47</v>
      </c>
      <c r="B33" s="165"/>
      <c r="C33" s="165"/>
      <c r="D33" s="165"/>
      <c r="E33" s="165"/>
      <c r="F33" s="165"/>
      <c r="G33" s="165"/>
      <c r="H33" s="165"/>
      <c r="I33" s="165"/>
    </row>
    <row r="34" spans="1:9" ht="18.75">
      <c r="A34" s="104" t="s">
        <v>48</v>
      </c>
      <c r="B34" s="165">
        <f>B6+B8+B9+B10+B11+B12+B13+B14+B16+B17+B18+B20+B21+B22+B23+B24+B25+B26+B27+B28+B29+B30+B31+B32</f>
        <v>36386301</v>
      </c>
      <c r="C34" s="165">
        <f aca="true" t="shared" si="1" ref="C34:H34">C6+C8+C9+C10+C11+C12+C13+C14+C16+C17+C18+C20+C21+C22+C23+C24+C25+C26+C27+C28+C29+C30+C31+C32</f>
        <v>10055295</v>
      </c>
      <c r="D34" s="165">
        <f t="shared" si="1"/>
        <v>1231919</v>
      </c>
      <c r="E34" s="165">
        <f t="shared" si="1"/>
        <v>4044471</v>
      </c>
      <c r="F34" s="165">
        <f t="shared" si="1"/>
        <v>611533</v>
      </c>
      <c r="G34" s="165">
        <f t="shared" si="1"/>
        <v>121746</v>
      </c>
      <c r="H34" s="165">
        <f t="shared" si="1"/>
        <v>449168</v>
      </c>
      <c r="I34" s="165">
        <f>I6+I8+I9+I10+I11+I12+I13+I14+I16+I17+I18+I20+I21+I22+I23+I24+I25+I26+I27+I28+I29+I30+I31+I32</f>
        <v>52900433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Q50"/>
  <sheetViews>
    <sheetView view="pageBreakPreview" zoomScale="50" zoomScaleNormal="50" zoomScaleSheetLayoutView="50" zoomScalePageLayoutView="0" workbookViewId="0" topLeftCell="A1">
      <pane xSplit="1" ySplit="4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4" sqref="I24:I36"/>
    </sheetView>
  </sheetViews>
  <sheetFormatPr defaultColWidth="9.00390625" defaultRowHeight="24.75" customHeight="1"/>
  <cols>
    <col min="1" max="1" width="69.00390625" style="0" customWidth="1"/>
    <col min="2" max="2" width="10.375" style="0" customWidth="1"/>
    <col min="3" max="3" width="11.00390625" style="0" customWidth="1"/>
    <col min="4" max="24" width="24.00390625" style="0" customWidth="1"/>
    <col min="25" max="28" width="24.00390625" style="12" customWidth="1"/>
    <col min="29" max="101" width="24.00390625" style="0" customWidth="1"/>
    <col min="102" max="102" width="32.25390625" style="0" customWidth="1"/>
    <col min="103" max="103" width="29.375" style="52" customWidth="1"/>
    <col min="104" max="104" width="25.125" style="52" customWidth="1"/>
    <col min="105" max="105" width="23.375" style="52" customWidth="1"/>
    <col min="106" max="106" width="22.875" style="52" customWidth="1"/>
    <col min="107" max="114" width="9.125" style="52" customWidth="1"/>
  </cols>
  <sheetData>
    <row r="2" spans="1:69" ht="24.75" customHeight="1">
      <c r="A2" s="73" t="s">
        <v>147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10"/>
    </row>
    <row r="4" spans="1:114" s="1" customFormat="1" ht="216" customHeight="1">
      <c r="A4" s="5" t="s">
        <v>0</v>
      </c>
      <c r="B4" s="6" t="s">
        <v>1</v>
      </c>
      <c r="C4" s="6" t="s">
        <v>2</v>
      </c>
      <c r="D4" s="6" t="s">
        <v>3</v>
      </c>
      <c r="E4" s="152" t="s">
        <v>4</v>
      </c>
      <c r="F4" s="153"/>
      <c r="G4" s="153"/>
      <c r="H4" s="154"/>
      <c r="I4" s="152" t="s">
        <v>5</v>
      </c>
      <c r="J4" s="153"/>
      <c r="K4" s="153"/>
      <c r="L4" s="154"/>
      <c r="M4" s="152" t="s">
        <v>6</v>
      </c>
      <c r="N4" s="153"/>
      <c r="O4" s="153"/>
      <c r="P4" s="154"/>
      <c r="Q4" s="152" t="s">
        <v>7</v>
      </c>
      <c r="R4" s="153"/>
      <c r="S4" s="153"/>
      <c r="T4" s="154"/>
      <c r="U4" s="152" t="s">
        <v>8</v>
      </c>
      <c r="V4" s="153"/>
      <c r="W4" s="153"/>
      <c r="X4" s="154"/>
      <c r="Y4" s="152" t="s">
        <v>9</v>
      </c>
      <c r="Z4" s="153"/>
      <c r="AA4" s="153"/>
      <c r="AB4" s="154"/>
      <c r="AC4" s="152" t="s">
        <v>49</v>
      </c>
      <c r="AD4" s="153"/>
      <c r="AE4" s="153"/>
      <c r="AF4" s="153"/>
      <c r="AG4" s="153"/>
      <c r="AH4" s="154"/>
      <c r="AI4" s="152" t="s">
        <v>144</v>
      </c>
      <c r="AJ4" s="153"/>
      <c r="AK4" s="153"/>
      <c r="AL4" s="154"/>
      <c r="AM4" s="152" t="s">
        <v>135</v>
      </c>
      <c r="AN4" s="153"/>
      <c r="AO4" s="153"/>
      <c r="AP4" s="153"/>
      <c r="AQ4" s="153"/>
      <c r="AR4" s="153"/>
      <c r="AS4" s="154"/>
      <c r="AT4" s="152" t="s">
        <v>10</v>
      </c>
      <c r="AU4" s="153"/>
      <c r="AV4" s="153"/>
      <c r="AW4" s="154"/>
      <c r="AX4" s="152" t="s">
        <v>11</v>
      </c>
      <c r="AY4" s="153"/>
      <c r="AZ4" s="153"/>
      <c r="BA4" s="153"/>
      <c r="BB4" s="153"/>
      <c r="BC4" s="154"/>
      <c r="BD4" s="152" t="s">
        <v>12</v>
      </c>
      <c r="BE4" s="153"/>
      <c r="BF4" s="153"/>
      <c r="BG4" s="153"/>
      <c r="BH4" s="153"/>
      <c r="BI4" s="153"/>
      <c r="BJ4" s="154"/>
      <c r="BK4" s="152" t="s">
        <v>13</v>
      </c>
      <c r="BL4" s="153"/>
      <c r="BM4" s="153"/>
      <c r="BN4" s="153"/>
      <c r="BO4" s="153"/>
      <c r="BP4" s="153"/>
      <c r="BQ4" s="154"/>
      <c r="BR4" s="152" t="s">
        <v>14</v>
      </c>
      <c r="BS4" s="153"/>
      <c r="BT4" s="153"/>
      <c r="BU4" s="153"/>
      <c r="BV4" s="154"/>
      <c r="BW4" s="152" t="s">
        <v>15</v>
      </c>
      <c r="BX4" s="153"/>
      <c r="BY4" s="153"/>
      <c r="BZ4" s="153"/>
      <c r="CA4" s="154"/>
      <c r="CB4" s="152" t="s">
        <v>16</v>
      </c>
      <c r="CC4" s="153"/>
      <c r="CD4" s="153"/>
      <c r="CE4" s="153"/>
      <c r="CF4" s="153"/>
      <c r="CG4" s="154"/>
      <c r="CH4" s="152" t="s">
        <v>17</v>
      </c>
      <c r="CI4" s="153"/>
      <c r="CJ4" s="153"/>
      <c r="CK4" s="153"/>
      <c r="CL4" s="153"/>
      <c r="CM4" s="154"/>
      <c r="CN4" s="155" t="s">
        <v>18</v>
      </c>
      <c r="CO4" s="155"/>
      <c r="CP4" s="155"/>
      <c r="CQ4" s="155"/>
      <c r="CR4" s="155"/>
      <c r="CS4" s="155"/>
      <c r="CT4" s="152" t="s">
        <v>136</v>
      </c>
      <c r="CU4" s="153"/>
      <c r="CV4" s="154"/>
      <c r="CW4" s="152" t="s">
        <v>94</v>
      </c>
      <c r="CX4" s="154"/>
      <c r="CY4" s="53" t="s">
        <v>123</v>
      </c>
      <c r="CZ4" s="53"/>
      <c r="DA4" s="53"/>
      <c r="DB4" s="53"/>
      <c r="DC4" s="54"/>
      <c r="DD4" s="54"/>
      <c r="DE4" s="54"/>
      <c r="DF4" s="54"/>
      <c r="DG4" s="54"/>
      <c r="DH4" s="54"/>
      <c r="DI4" s="54"/>
      <c r="DJ4" s="54"/>
    </row>
    <row r="5" spans="1:114" s="39" customFormat="1" ht="36" customHeight="1">
      <c r="A5" s="5"/>
      <c r="B5" s="35"/>
      <c r="C5" s="35"/>
      <c r="D5" s="35"/>
      <c r="E5" s="35" t="s">
        <v>120</v>
      </c>
      <c r="F5" s="35" t="s">
        <v>121</v>
      </c>
      <c r="G5" s="35" t="s">
        <v>87</v>
      </c>
      <c r="H5" s="35" t="s">
        <v>148</v>
      </c>
      <c r="I5" s="35" t="s">
        <v>117</v>
      </c>
      <c r="J5" s="35" t="s">
        <v>121</v>
      </c>
      <c r="K5" s="35" t="s">
        <v>87</v>
      </c>
      <c r="L5" s="35" t="s">
        <v>149</v>
      </c>
      <c r="M5" s="35" t="s">
        <v>117</v>
      </c>
      <c r="N5" s="35" t="s">
        <v>121</v>
      </c>
      <c r="O5" s="35" t="s">
        <v>87</v>
      </c>
      <c r="P5" s="35" t="s">
        <v>149</v>
      </c>
      <c r="Q5" s="35" t="s">
        <v>117</v>
      </c>
      <c r="R5" s="35" t="s">
        <v>121</v>
      </c>
      <c r="S5" s="35" t="s">
        <v>87</v>
      </c>
      <c r="T5" s="35" t="s">
        <v>149</v>
      </c>
      <c r="U5" s="35" t="s">
        <v>117</v>
      </c>
      <c r="V5" s="35" t="s">
        <v>121</v>
      </c>
      <c r="W5" s="35" t="s">
        <v>87</v>
      </c>
      <c r="X5" s="35" t="s">
        <v>149</v>
      </c>
      <c r="Y5" s="35" t="s">
        <v>117</v>
      </c>
      <c r="Z5" s="35" t="s">
        <v>121</v>
      </c>
      <c r="AA5" s="35" t="s">
        <v>87</v>
      </c>
      <c r="AB5" s="35" t="s">
        <v>149</v>
      </c>
      <c r="AC5" s="35" t="s">
        <v>117</v>
      </c>
      <c r="AD5" s="35" t="s">
        <v>121</v>
      </c>
      <c r="AE5" s="35" t="s">
        <v>134</v>
      </c>
      <c r="AF5" s="38">
        <v>0.1</v>
      </c>
      <c r="AG5" s="35" t="s">
        <v>87</v>
      </c>
      <c r="AH5" s="35" t="s">
        <v>149</v>
      </c>
      <c r="AI5" s="35" t="s">
        <v>117</v>
      </c>
      <c r="AJ5" s="35" t="s">
        <v>145</v>
      </c>
      <c r="AK5" s="35" t="s">
        <v>87</v>
      </c>
      <c r="AL5" s="35" t="s">
        <v>149</v>
      </c>
      <c r="AM5" s="35" t="s">
        <v>117</v>
      </c>
      <c r="AN5" s="35" t="s">
        <v>121</v>
      </c>
      <c r="AO5" s="35" t="s">
        <v>118</v>
      </c>
      <c r="AP5" s="38">
        <v>0.25</v>
      </c>
      <c r="AQ5" s="38">
        <v>0.5</v>
      </c>
      <c r="AR5" s="35" t="s">
        <v>119</v>
      </c>
      <c r="AS5" s="35" t="s">
        <v>149</v>
      </c>
      <c r="AT5" s="35" t="s">
        <v>117</v>
      </c>
      <c r="AU5" s="35" t="s">
        <v>121</v>
      </c>
      <c r="AV5" s="35" t="s">
        <v>87</v>
      </c>
      <c r="AW5" s="35" t="s">
        <v>149</v>
      </c>
      <c r="AX5" s="35" t="s">
        <v>117</v>
      </c>
      <c r="AY5" s="35" t="s">
        <v>121</v>
      </c>
      <c r="AZ5" s="35" t="s">
        <v>87</v>
      </c>
      <c r="BA5" s="38">
        <v>0.4</v>
      </c>
      <c r="BB5" s="35" t="s">
        <v>119</v>
      </c>
      <c r="BC5" s="35" t="s">
        <v>149</v>
      </c>
      <c r="BD5" s="35" t="s">
        <v>117</v>
      </c>
      <c r="BE5" s="35" t="s">
        <v>121</v>
      </c>
      <c r="BF5" s="35" t="s">
        <v>87</v>
      </c>
      <c r="BG5" s="38">
        <v>0.1</v>
      </c>
      <c r="BH5" s="38">
        <v>0.2</v>
      </c>
      <c r="BI5" s="35" t="s">
        <v>119</v>
      </c>
      <c r="BJ5" s="35" t="s">
        <v>149</v>
      </c>
      <c r="BK5" s="35" t="s">
        <v>117</v>
      </c>
      <c r="BL5" s="35" t="s">
        <v>121</v>
      </c>
      <c r="BM5" s="35" t="s">
        <v>87</v>
      </c>
      <c r="BN5" s="38">
        <v>0.1</v>
      </c>
      <c r="BO5" s="38">
        <v>0.2</v>
      </c>
      <c r="BP5" s="35" t="s">
        <v>119</v>
      </c>
      <c r="BQ5" s="35" t="s">
        <v>149</v>
      </c>
      <c r="BR5" s="35" t="s">
        <v>117</v>
      </c>
      <c r="BS5" s="35" t="s">
        <v>121</v>
      </c>
      <c r="BT5" s="38">
        <v>0.2</v>
      </c>
      <c r="BU5" s="35" t="s">
        <v>87</v>
      </c>
      <c r="BV5" s="35" t="s">
        <v>149</v>
      </c>
      <c r="BW5" s="35" t="s">
        <v>117</v>
      </c>
      <c r="BX5" s="35" t="s">
        <v>121</v>
      </c>
      <c r="BY5" s="35" t="s">
        <v>132</v>
      </c>
      <c r="BZ5" s="35" t="s">
        <v>87</v>
      </c>
      <c r="CA5" s="35" t="s">
        <v>149</v>
      </c>
      <c r="CB5" s="35" t="s">
        <v>117</v>
      </c>
      <c r="CC5" s="35" t="s">
        <v>121</v>
      </c>
      <c r="CD5" s="35" t="s">
        <v>87</v>
      </c>
      <c r="CE5" s="38">
        <v>0.1</v>
      </c>
      <c r="CF5" s="35" t="s">
        <v>119</v>
      </c>
      <c r="CG5" s="35" t="s">
        <v>149</v>
      </c>
      <c r="CH5" s="35" t="s">
        <v>117</v>
      </c>
      <c r="CI5" s="35" t="s">
        <v>121</v>
      </c>
      <c r="CJ5" s="35" t="s">
        <v>87</v>
      </c>
      <c r="CK5" s="38">
        <v>0.12</v>
      </c>
      <c r="CL5" s="35" t="s">
        <v>119</v>
      </c>
      <c r="CM5" s="35" t="s">
        <v>149</v>
      </c>
      <c r="CN5" s="35" t="s">
        <v>117</v>
      </c>
      <c r="CO5" s="35" t="s">
        <v>121</v>
      </c>
      <c r="CP5" s="35" t="s">
        <v>87</v>
      </c>
      <c r="CQ5" s="38">
        <v>0.1</v>
      </c>
      <c r="CR5" s="35" t="s">
        <v>119</v>
      </c>
      <c r="CS5" s="35" t="s">
        <v>149</v>
      </c>
      <c r="CT5" s="36" t="s">
        <v>120</v>
      </c>
      <c r="CU5" s="36" t="s">
        <v>87</v>
      </c>
      <c r="CV5" s="35" t="s">
        <v>149</v>
      </c>
      <c r="CW5" s="36" t="s">
        <v>83</v>
      </c>
      <c r="CX5" s="37" t="s">
        <v>131</v>
      </c>
      <c r="CY5" s="55"/>
      <c r="CZ5" s="55"/>
      <c r="DA5" s="55"/>
      <c r="DB5" s="55"/>
      <c r="DC5" s="56"/>
      <c r="DD5" s="56"/>
      <c r="DE5" s="56"/>
      <c r="DF5" s="56"/>
      <c r="DG5" s="56"/>
      <c r="DH5" s="56"/>
      <c r="DI5" s="56"/>
      <c r="DJ5" s="56"/>
    </row>
    <row r="6" spans="1:114" s="12" customFormat="1" ht="45" customHeight="1">
      <c r="A6" s="45" t="s">
        <v>19</v>
      </c>
      <c r="B6" s="42"/>
      <c r="C6" s="42">
        <v>1</v>
      </c>
      <c r="D6" s="42">
        <v>8</v>
      </c>
      <c r="E6" s="42"/>
      <c r="F6" s="42"/>
      <c r="G6" s="42">
        <f>SUM(E6*F6)</f>
        <v>0</v>
      </c>
      <c r="H6" s="42"/>
      <c r="I6" s="42"/>
      <c r="J6" s="42"/>
      <c r="K6" s="42">
        <f>SUM(I6*J6)</f>
        <v>0</v>
      </c>
      <c r="L6" s="42"/>
      <c r="M6" s="42"/>
      <c r="N6" s="42"/>
      <c r="O6" s="42">
        <f>SUM(M6*N6)</f>
        <v>0</v>
      </c>
      <c r="P6" s="42"/>
      <c r="Q6" s="42"/>
      <c r="R6" s="42"/>
      <c r="S6" s="42">
        <f>SUM(Q6*R6)</f>
        <v>0</v>
      </c>
      <c r="T6" s="42"/>
      <c r="U6" s="42">
        <v>0.5</v>
      </c>
      <c r="V6" s="42">
        <v>1600</v>
      </c>
      <c r="W6" s="46">
        <f>SUM(U6*V6)</f>
        <v>800</v>
      </c>
      <c r="X6" s="46">
        <f>3200*U6-W6</f>
        <v>800</v>
      </c>
      <c r="Y6" s="42"/>
      <c r="Z6" s="42"/>
      <c r="AA6" s="42">
        <f>SUM(Y6*Z6)</f>
        <v>0</v>
      </c>
      <c r="AB6" s="42"/>
      <c r="AC6" s="42">
        <v>1</v>
      </c>
      <c r="AD6" s="42">
        <v>1744</v>
      </c>
      <c r="AE6" s="42">
        <f>AC6*AD6</f>
        <v>1744</v>
      </c>
      <c r="AF6" s="46">
        <f>(AC6*AD6)*10%</f>
        <v>174.4</v>
      </c>
      <c r="AG6" s="46">
        <f>SUM(AC6*AD6)+AF6</f>
        <v>1918.4</v>
      </c>
      <c r="AH6" s="46">
        <f>3200*AC6-AE6</f>
        <v>1456</v>
      </c>
      <c r="AI6" s="42"/>
      <c r="AJ6" s="42"/>
      <c r="AK6" s="42"/>
      <c r="AL6" s="42"/>
      <c r="AM6" s="42"/>
      <c r="AN6" s="42"/>
      <c r="AO6" s="42">
        <f>SUM(AM6*AN6)</f>
        <v>0</v>
      </c>
      <c r="AP6" s="42"/>
      <c r="AQ6" s="42"/>
      <c r="AR6" s="42">
        <f>SUM(AO6+AQ6)</f>
        <v>0</v>
      </c>
      <c r="AS6" s="42"/>
      <c r="AT6" s="42"/>
      <c r="AU6" s="42"/>
      <c r="AV6" s="42">
        <f>SUM(AT6*AU6)</f>
        <v>0</v>
      </c>
      <c r="AW6" s="42"/>
      <c r="AX6" s="42"/>
      <c r="AY6" s="42"/>
      <c r="AZ6" s="42">
        <f>SUM(AX6*AY6)</f>
        <v>0</v>
      </c>
      <c r="BA6" s="42">
        <f aca="true" t="shared" si="0" ref="BA6:BA36">(AX6*AY6*40%)</f>
        <v>0</v>
      </c>
      <c r="BB6" s="42">
        <f aca="true" t="shared" si="1" ref="BB6:BB36">SUM(AZ6+BA6)</f>
        <v>0</v>
      </c>
      <c r="BC6" s="42"/>
      <c r="BD6" s="42">
        <v>0</v>
      </c>
      <c r="BE6" s="42"/>
      <c r="BF6" s="42">
        <f aca="true" t="shared" si="2" ref="BF6:BF36">SUM(BD6*BE6)</f>
        <v>0</v>
      </c>
      <c r="BG6" s="42">
        <f>SUM(BF6*10%)</f>
        <v>0</v>
      </c>
      <c r="BH6" s="42"/>
      <c r="BI6" s="42">
        <f>SUM(BF6+BG6)</f>
        <v>0</v>
      </c>
      <c r="BJ6" s="42"/>
      <c r="BK6" s="42"/>
      <c r="BL6" s="42"/>
      <c r="BM6" s="42">
        <f aca="true" t="shared" si="3" ref="BM6:BM36">SUM(BK6*BL6)</f>
        <v>0</v>
      </c>
      <c r="BN6" s="42">
        <f aca="true" t="shared" si="4" ref="BN6:BN36">SUM(BM6*10%)</f>
        <v>0</v>
      </c>
      <c r="BO6" s="42"/>
      <c r="BP6" s="42">
        <f aca="true" t="shared" si="5" ref="BP6:BP36">SUM(BM6+BN6)</f>
        <v>0</v>
      </c>
      <c r="BQ6" s="42"/>
      <c r="BR6" s="42"/>
      <c r="BS6" s="42"/>
      <c r="BT6" s="42"/>
      <c r="BU6" s="42">
        <f aca="true" t="shared" si="6" ref="BU6:BU36">SUM(BR6*BS6)</f>
        <v>0</v>
      </c>
      <c r="BV6" s="42"/>
      <c r="BW6" s="42"/>
      <c r="BX6" s="42"/>
      <c r="BY6" s="42"/>
      <c r="BZ6" s="42">
        <f>SUM(BW6*BX6)</f>
        <v>0</v>
      </c>
      <c r="CA6" s="42"/>
      <c r="CB6" s="42">
        <v>0.5</v>
      </c>
      <c r="CC6" s="42">
        <v>1744</v>
      </c>
      <c r="CD6" s="42">
        <f>SUM(CB6*CC6)</f>
        <v>872</v>
      </c>
      <c r="CE6" s="42">
        <f>SUM(CB6*CC6*10%)</f>
        <v>87.2</v>
      </c>
      <c r="CF6" s="42">
        <f>SUM(CD6+CE6)</f>
        <v>959.2</v>
      </c>
      <c r="CG6" s="42">
        <f>3200*CB6-CD6</f>
        <v>728</v>
      </c>
      <c r="CH6" s="42"/>
      <c r="CI6" s="42"/>
      <c r="CJ6" s="42">
        <f>SUM(CH6*CI6)</f>
        <v>0</v>
      </c>
      <c r="CK6" s="42">
        <f>SUM(CH6*CI6*12%)</f>
        <v>0</v>
      </c>
      <c r="CL6" s="42">
        <f>SUM(CJ6+CK6)</f>
        <v>0</v>
      </c>
      <c r="CM6" s="42"/>
      <c r="CN6" s="42"/>
      <c r="CO6" s="42"/>
      <c r="CP6" s="42">
        <f>SUM(CN6*CO6)</f>
        <v>0</v>
      </c>
      <c r="CQ6" s="42">
        <f>SUM(CN6*CO6*10%)</f>
        <v>0</v>
      </c>
      <c r="CR6" s="42">
        <f>SUM(CP6+CQ6)</f>
        <v>0</v>
      </c>
      <c r="CS6" s="42"/>
      <c r="CT6" s="42"/>
      <c r="CU6" s="42"/>
      <c r="CV6" s="42"/>
      <c r="CW6" s="42">
        <f>E6+I6+M6+Q6+U6+Y6+AC6+AM6+AT6+AX6+BD6+BK6+BR6+BW6+CB6+CH6+CN6</f>
        <v>2</v>
      </c>
      <c r="CX6" s="46">
        <f>G6+H6+K6+L6+O6+P6+S6+T6+W6+X6+AA6+AB6+AG6+AH6+AK6+AL6+AR6+AS6+AV6+AW6+BB6+BC6+BI6+BJ6+BP6+BQ6+BU6+BV6+BZ6+CA6+CF6+CG6+CL6+CM6+CR6+CS6+CU6+CV6</f>
        <v>6661.599999999999</v>
      </c>
      <c r="CY6" s="58"/>
      <c r="CZ6" s="58"/>
      <c r="DA6" s="58"/>
      <c r="DB6" s="58"/>
      <c r="DC6" s="59"/>
      <c r="DD6" s="59"/>
      <c r="DE6" s="59"/>
      <c r="DF6" s="59"/>
      <c r="DG6" s="59"/>
      <c r="DH6" s="59"/>
      <c r="DI6" s="59"/>
      <c r="DJ6" s="59"/>
    </row>
    <row r="7" spans="1:106" ht="45" customHeight="1">
      <c r="A7" s="43" t="s">
        <v>20</v>
      </c>
      <c r="B7" s="44">
        <f>SUM(B6)</f>
        <v>0</v>
      </c>
      <c r="C7" s="44"/>
      <c r="D7" s="44">
        <f>SUM(D6)</f>
        <v>8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>
        <f>U6</f>
        <v>0.5</v>
      </c>
      <c r="V7" s="44"/>
      <c r="W7" s="70">
        <f>W6</f>
        <v>800</v>
      </c>
      <c r="X7" s="70">
        <f>X6</f>
        <v>800</v>
      </c>
      <c r="Y7" s="44"/>
      <c r="Z7" s="44"/>
      <c r="AA7" s="44"/>
      <c r="AB7" s="44"/>
      <c r="AC7" s="44">
        <f>AC6</f>
        <v>1</v>
      </c>
      <c r="AD7" s="44"/>
      <c r="AE7" s="44">
        <f>AE6</f>
        <v>1744</v>
      </c>
      <c r="AF7" s="70">
        <f>AF6</f>
        <v>174.4</v>
      </c>
      <c r="AG7" s="70">
        <f>AG6</f>
        <v>1918.4</v>
      </c>
      <c r="AH7" s="70">
        <f>AH6</f>
        <v>1456</v>
      </c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>
        <f>CB6</f>
        <v>0.5</v>
      </c>
      <c r="CC7" s="44"/>
      <c r="CD7" s="44">
        <f>CD6</f>
        <v>872</v>
      </c>
      <c r="CE7" s="44">
        <f>CE6</f>
        <v>87.2</v>
      </c>
      <c r="CF7" s="44">
        <f>CF6</f>
        <v>959.2</v>
      </c>
      <c r="CG7" s="44">
        <f>CG6</f>
        <v>728</v>
      </c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>
        <f>CW6</f>
        <v>2</v>
      </c>
      <c r="CX7" s="44">
        <f>CX6</f>
        <v>6661.599999999999</v>
      </c>
      <c r="CY7" s="57"/>
      <c r="CZ7" s="57"/>
      <c r="DA7" s="57"/>
      <c r="DB7" s="57"/>
    </row>
    <row r="8" spans="1:114" s="12" customFormat="1" ht="45" customHeight="1">
      <c r="A8" s="45" t="s">
        <v>21</v>
      </c>
      <c r="B8" s="42">
        <v>2</v>
      </c>
      <c r="C8" s="42">
        <v>3</v>
      </c>
      <c r="D8" s="42">
        <v>26</v>
      </c>
      <c r="E8" s="42"/>
      <c r="F8" s="42"/>
      <c r="G8" s="42">
        <f aca="true" t="shared" si="7" ref="G8:G15">SUM(E8*F8)</f>
        <v>0</v>
      </c>
      <c r="H8" s="42"/>
      <c r="I8" s="42"/>
      <c r="J8" s="42"/>
      <c r="K8" s="42">
        <f>SUM(I8*J8)</f>
        <v>0</v>
      </c>
      <c r="L8" s="42"/>
      <c r="M8" s="42"/>
      <c r="N8" s="42"/>
      <c r="O8" s="42">
        <f>SUM(M8*N8)</f>
        <v>0</v>
      </c>
      <c r="P8" s="42"/>
      <c r="Q8" s="42"/>
      <c r="R8" s="42"/>
      <c r="S8" s="42">
        <f aca="true" t="shared" si="8" ref="S8:S15">SUM(Q8*R8)</f>
        <v>0</v>
      </c>
      <c r="T8" s="42"/>
      <c r="U8" s="42"/>
      <c r="V8" s="42"/>
      <c r="W8" s="42">
        <f>SUM(U8*V8)</f>
        <v>0</v>
      </c>
      <c r="X8" s="42"/>
      <c r="Y8" s="42">
        <v>1</v>
      </c>
      <c r="Z8" s="42">
        <v>1888</v>
      </c>
      <c r="AA8" s="46">
        <f aca="true" t="shared" si="9" ref="AA8:AA15">SUM(Y8*Z8)</f>
        <v>1888</v>
      </c>
      <c r="AB8" s="46">
        <f>3200*Y8-AA8</f>
        <v>1312</v>
      </c>
      <c r="AC8" s="42">
        <v>2</v>
      </c>
      <c r="AD8" s="42">
        <v>1744</v>
      </c>
      <c r="AE8" s="42">
        <f>AC8*AD8</f>
        <v>3488</v>
      </c>
      <c r="AF8" s="46"/>
      <c r="AG8" s="46">
        <f>SUM(AC8*AD8)</f>
        <v>3488</v>
      </c>
      <c r="AH8" s="46">
        <f aca="true" t="shared" si="10" ref="AH8:AH15">3200*AC8-AE8</f>
        <v>2912</v>
      </c>
      <c r="AI8" s="42"/>
      <c r="AJ8" s="42"/>
      <c r="AK8" s="42"/>
      <c r="AL8" s="42"/>
      <c r="AM8" s="42"/>
      <c r="AN8" s="42"/>
      <c r="AO8" s="42">
        <f>SUM(AM8*AN8)</f>
        <v>0</v>
      </c>
      <c r="AP8" s="42"/>
      <c r="AQ8" s="42"/>
      <c r="AR8" s="42">
        <f aca="true" t="shared" si="11" ref="AR8:AR15">SUM(AO8+AQ8)</f>
        <v>0</v>
      </c>
      <c r="AS8" s="42"/>
      <c r="AT8" s="42"/>
      <c r="AU8" s="42"/>
      <c r="AV8" s="42">
        <f>SUM(AT8*AU8)</f>
        <v>0</v>
      </c>
      <c r="AW8" s="42"/>
      <c r="AX8" s="42">
        <v>1</v>
      </c>
      <c r="AY8" s="42">
        <v>1600</v>
      </c>
      <c r="AZ8" s="42">
        <f>SUM(AX8*AY8)</f>
        <v>1600</v>
      </c>
      <c r="BA8" s="46">
        <f t="shared" si="0"/>
        <v>640</v>
      </c>
      <c r="BB8" s="46">
        <f t="shared" si="1"/>
        <v>2240</v>
      </c>
      <c r="BC8" s="46">
        <f>3200*AX8-AZ8</f>
        <v>1600</v>
      </c>
      <c r="BD8" s="42">
        <v>1</v>
      </c>
      <c r="BE8" s="42">
        <v>1888</v>
      </c>
      <c r="BF8" s="42">
        <f t="shared" si="2"/>
        <v>1888</v>
      </c>
      <c r="BG8" s="46">
        <f>SUM(BF8*14%)</f>
        <v>264.32000000000005</v>
      </c>
      <c r="BH8" s="42"/>
      <c r="BI8" s="46">
        <f aca="true" t="shared" si="12" ref="BI8:BI15">SUM(BF8+BG8)</f>
        <v>2152.32</v>
      </c>
      <c r="BJ8" s="46">
        <f>3200*BD8-BF8</f>
        <v>1312</v>
      </c>
      <c r="BK8" s="42"/>
      <c r="BL8" s="42"/>
      <c r="BM8" s="42">
        <f t="shared" si="3"/>
        <v>0</v>
      </c>
      <c r="BN8" s="42">
        <f t="shared" si="4"/>
        <v>0</v>
      </c>
      <c r="BO8" s="42"/>
      <c r="BP8" s="42">
        <f t="shared" si="5"/>
        <v>0</v>
      </c>
      <c r="BQ8" s="42"/>
      <c r="BR8" s="42"/>
      <c r="BS8" s="42"/>
      <c r="BT8" s="42"/>
      <c r="BU8" s="42">
        <f t="shared" si="6"/>
        <v>0</v>
      </c>
      <c r="BV8" s="42"/>
      <c r="BW8" s="42"/>
      <c r="BX8" s="42"/>
      <c r="BY8" s="42"/>
      <c r="BZ8" s="42">
        <f>SUM(BW8*BX8)</f>
        <v>0</v>
      </c>
      <c r="CA8" s="42"/>
      <c r="CB8" s="42">
        <v>1</v>
      </c>
      <c r="CC8" s="42">
        <v>1744</v>
      </c>
      <c r="CD8" s="42">
        <f>SUM(CB8*CC8)</f>
        <v>1744</v>
      </c>
      <c r="CE8" s="46">
        <f>SUM(CB8*CC8*10%)</f>
        <v>174.4</v>
      </c>
      <c r="CF8" s="46">
        <f>SUM(CD8+CE8)</f>
        <v>1918.4</v>
      </c>
      <c r="CG8" s="42">
        <f aca="true" t="shared" si="13" ref="CG8:CG15">3200*CB8-CD8</f>
        <v>1456</v>
      </c>
      <c r="CH8" s="42"/>
      <c r="CI8" s="42"/>
      <c r="CJ8" s="42">
        <f>SUM(CH8*CI8)</f>
        <v>0</v>
      </c>
      <c r="CK8" s="42">
        <f>SUM(CH8*CI8*12%)</f>
        <v>0</v>
      </c>
      <c r="CL8" s="42">
        <f>SUM(CJ8+CK8)</f>
        <v>0</v>
      </c>
      <c r="CM8" s="42"/>
      <c r="CN8" s="42"/>
      <c r="CO8" s="42"/>
      <c r="CP8" s="42">
        <f>SUM(CN8*CO8)</f>
        <v>0</v>
      </c>
      <c r="CQ8" s="42">
        <f>SUM(CN8*CO8*10%)</f>
        <v>0</v>
      </c>
      <c r="CR8" s="42">
        <f>SUM(CP8+CQ8)</f>
        <v>0</v>
      </c>
      <c r="CS8" s="42"/>
      <c r="CT8" s="42"/>
      <c r="CU8" s="42"/>
      <c r="CV8" s="42"/>
      <c r="CW8" s="42">
        <f>E8+I8+M8+Q8+U8+Y8+AC8+AM8+AT8+AX8+BD8+BK8+BR8+BW8+CB8+CH8+CN8</f>
        <v>6</v>
      </c>
      <c r="CX8" s="46">
        <f aca="true" t="shared" si="14" ref="CX8:CX15">G8+H8+K8+L8+O8+P8+S8+T8+W8+X8+AA8+AB8+AG8+AH8+AK8+AL8+AR8+AS8+AV8+AW8+BB8+BC8+BI8+BJ8+BP8+BQ8+BU8+BV8+BZ8+CA8+CF8+CG8+CL8+CM8+CR8+CS8+CU8+CV8</f>
        <v>20278.72</v>
      </c>
      <c r="CY8" s="58"/>
      <c r="CZ8" s="58"/>
      <c r="DA8" s="58"/>
      <c r="DB8" s="58"/>
      <c r="DC8" s="59"/>
      <c r="DD8" s="59"/>
      <c r="DE8" s="59"/>
      <c r="DF8" s="59"/>
      <c r="DG8" s="59"/>
      <c r="DH8" s="59"/>
      <c r="DI8" s="59"/>
      <c r="DJ8" s="59"/>
    </row>
    <row r="9" spans="1:114" s="12" customFormat="1" ht="45" customHeight="1">
      <c r="A9" s="45" t="s">
        <v>22</v>
      </c>
      <c r="B9" s="42">
        <v>4</v>
      </c>
      <c r="C9" s="42">
        <v>4</v>
      </c>
      <c r="D9" s="42">
        <v>29</v>
      </c>
      <c r="E9" s="42"/>
      <c r="F9" s="42"/>
      <c r="G9" s="42">
        <f t="shared" si="7"/>
        <v>0</v>
      </c>
      <c r="H9" s="42"/>
      <c r="I9" s="42"/>
      <c r="J9" s="42"/>
      <c r="K9" s="42">
        <f aca="true" t="shared" si="15" ref="K9:K36">SUM(I9*J9)</f>
        <v>0</v>
      </c>
      <c r="L9" s="42"/>
      <c r="M9" s="42"/>
      <c r="N9" s="42"/>
      <c r="O9" s="42">
        <f aca="true" t="shared" si="16" ref="O9:O36">SUM(M9*N9)</f>
        <v>0</v>
      </c>
      <c r="P9" s="42"/>
      <c r="Q9" s="42"/>
      <c r="R9" s="42"/>
      <c r="S9" s="42">
        <f t="shared" si="8"/>
        <v>0</v>
      </c>
      <c r="T9" s="42"/>
      <c r="U9" s="42"/>
      <c r="V9" s="42"/>
      <c r="W9" s="42">
        <f>SUM(U9*V9)</f>
        <v>0</v>
      </c>
      <c r="X9" s="42"/>
      <c r="Y9" s="42">
        <v>1</v>
      </c>
      <c r="Z9" s="42">
        <v>1888</v>
      </c>
      <c r="AA9" s="46">
        <f t="shared" si="9"/>
        <v>1888</v>
      </c>
      <c r="AB9" s="46">
        <f aca="true" t="shared" si="17" ref="AB9:AB18">3200*Y9-AA9</f>
        <v>1312</v>
      </c>
      <c r="AC9" s="42">
        <v>2</v>
      </c>
      <c r="AD9" s="42">
        <v>1744</v>
      </c>
      <c r="AE9" s="42">
        <f aca="true" t="shared" si="18" ref="AE9:AE15">AC9*AD9</f>
        <v>3488</v>
      </c>
      <c r="AF9" s="46"/>
      <c r="AG9" s="46">
        <f aca="true" t="shared" si="19" ref="AG9:AG35">SUM(AC9*AD9)</f>
        <v>3488</v>
      </c>
      <c r="AH9" s="46">
        <f t="shared" si="10"/>
        <v>2912</v>
      </c>
      <c r="AI9" s="42"/>
      <c r="AJ9" s="42"/>
      <c r="AK9" s="42"/>
      <c r="AL9" s="42"/>
      <c r="AM9" s="42"/>
      <c r="AN9" s="42"/>
      <c r="AO9" s="42">
        <f aca="true" t="shared" si="20" ref="AO9:AO36">SUM(AM9*AN9)</f>
        <v>0</v>
      </c>
      <c r="AP9" s="42"/>
      <c r="AQ9" s="42"/>
      <c r="AR9" s="42">
        <f t="shared" si="11"/>
        <v>0</v>
      </c>
      <c r="AS9" s="42"/>
      <c r="AT9" s="42"/>
      <c r="AU9" s="42"/>
      <c r="AV9" s="42">
        <f>SUM(AT9*AU9)</f>
        <v>0</v>
      </c>
      <c r="AW9" s="42"/>
      <c r="AX9" s="42">
        <v>1</v>
      </c>
      <c r="AY9" s="42">
        <v>1600</v>
      </c>
      <c r="AZ9" s="42">
        <f aca="true" t="shared" si="21" ref="AZ9:AZ36">SUM(AX9*AY9)</f>
        <v>1600</v>
      </c>
      <c r="BA9" s="46">
        <f t="shared" si="0"/>
        <v>640</v>
      </c>
      <c r="BB9" s="46">
        <f t="shared" si="1"/>
        <v>2240</v>
      </c>
      <c r="BC9" s="46">
        <f aca="true" t="shared" si="22" ref="BC9:BC36">3200*AX9-AZ9</f>
        <v>1600</v>
      </c>
      <c r="BD9" s="42">
        <v>1</v>
      </c>
      <c r="BE9" s="42">
        <v>1888</v>
      </c>
      <c r="BF9" s="42">
        <f t="shared" si="2"/>
        <v>1888</v>
      </c>
      <c r="BG9" s="46">
        <f aca="true" t="shared" si="23" ref="BG9:BG15">SUM(BF9*14%)</f>
        <v>264.32000000000005</v>
      </c>
      <c r="BH9" s="42"/>
      <c r="BI9" s="46">
        <f t="shared" si="12"/>
        <v>2152.32</v>
      </c>
      <c r="BJ9" s="46">
        <f aca="true" t="shared" si="24" ref="BJ9:BJ15">3200*BD9-BF9</f>
        <v>1312</v>
      </c>
      <c r="BK9" s="42"/>
      <c r="BL9" s="42"/>
      <c r="BM9" s="42">
        <f t="shared" si="3"/>
        <v>0</v>
      </c>
      <c r="BN9" s="42">
        <f t="shared" si="4"/>
        <v>0</v>
      </c>
      <c r="BO9" s="42"/>
      <c r="BP9" s="42">
        <f t="shared" si="5"/>
        <v>0</v>
      </c>
      <c r="BQ9" s="42"/>
      <c r="BR9" s="42"/>
      <c r="BS9" s="42"/>
      <c r="BT9" s="42"/>
      <c r="BU9" s="42">
        <f t="shared" si="6"/>
        <v>0</v>
      </c>
      <c r="BV9" s="42"/>
      <c r="BW9" s="42"/>
      <c r="BX9" s="42"/>
      <c r="BY9" s="42"/>
      <c r="BZ9" s="42">
        <f aca="true" t="shared" si="25" ref="BZ9:BZ36">SUM(BW9*BX9)</f>
        <v>0</v>
      </c>
      <c r="CA9" s="42"/>
      <c r="CB9" s="42">
        <v>1</v>
      </c>
      <c r="CC9" s="42">
        <v>1744</v>
      </c>
      <c r="CD9" s="42">
        <f aca="true" t="shared" si="26" ref="CD9:CD36">SUM(CB9*CC9)</f>
        <v>1744</v>
      </c>
      <c r="CE9" s="46">
        <f>SUM(CB9*CC9*10%)</f>
        <v>174.4</v>
      </c>
      <c r="CF9" s="46">
        <f aca="true" t="shared" si="27" ref="CF9:CF36">SUM(CD9+CE9)</f>
        <v>1918.4</v>
      </c>
      <c r="CG9" s="42">
        <f t="shared" si="13"/>
        <v>1456</v>
      </c>
      <c r="CH9" s="42"/>
      <c r="CI9" s="42"/>
      <c r="CJ9" s="42">
        <f aca="true" t="shared" si="28" ref="CJ9:CJ36">SUM(CH9*CI9)</f>
        <v>0</v>
      </c>
      <c r="CK9" s="42">
        <f aca="true" t="shared" si="29" ref="CK9:CK36">SUM(CH9*CI9*12%)</f>
        <v>0</v>
      </c>
      <c r="CL9" s="42">
        <f aca="true" t="shared" si="30" ref="CL9:CL36">SUM(CJ9+CK9)</f>
        <v>0</v>
      </c>
      <c r="CM9" s="42"/>
      <c r="CN9" s="42"/>
      <c r="CO9" s="42"/>
      <c r="CP9" s="42">
        <f aca="true" t="shared" si="31" ref="CP9:CP36">SUM(CN9*CO9)</f>
        <v>0</v>
      </c>
      <c r="CQ9" s="42">
        <f aca="true" t="shared" si="32" ref="CQ9:CQ36">SUM(CN9*CO9*10%)</f>
        <v>0</v>
      </c>
      <c r="CR9" s="42">
        <f aca="true" t="shared" si="33" ref="CR9:CR36">SUM(CP9+CQ9)</f>
        <v>0</v>
      </c>
      <c r="CS9" s="42"/>
      <c r="CT9" s="42"/>
      <c r="CU9" s="42"/>
      <c r="CV9" s="42"/>
      <c r="CW9" s="42">
        <f>E9+I9+M9+Q9+U9+Y9+AC9+AM9+AT9+AX9+BD9+BK9+BR9+BW9+CB9+CH9+CN9</f>
        <v>6</v>
      </c>
      <c r="CX9" s="46">
        <f t="shared" si="14"/>
        <v>20278.72</v>
      </c>
      <c r="CY9" s="58"/>
      <c r="CZ9" s="58"/>
      <c r="DA9" s="58"/>
      <c r="DB9" s="58"/>
      <c r="DC9" s="59"/>
      <c r="DD9" s="59"/>
      <c r="DE9" s="59"/>
      <c r="DF9" s="59"/>
      <c r="DG9" s="59"/>
      <c r="DH9" s="59"/>
      <c r="DI9" s="59"/>
      <c r="DJ9" s="59"/>
    </row>
    <row r="10" spans="1:114" s="12" customFormat="1" ht="45" customHeight="1">
      <c r="A10" s="81" t="s">
        <v>23</v>
      </c>
      <c r="B10" s="42">
        <v>7</v>
      </c>
      <c r="C10" s="42">
        <v>7</v>
      </c>
      <c r="D10" s="42">
        <v>48</v>
      </c>
      <c r="E10" s="42">
        <v>0.5</v>
      </c>
      <c r="F10" s="42">
        <v>2624</v>
      </c>
      <c r="G10" s="46">
        <f t="shared" si="7"/>
        <v>1312</v>
      </c>
      <c r="H10" s="46">
        <f>3200*E10-G10</f>
        <v>288</v>
      </c>
      <c r="I10" s="42"/>
      <c r="J10" s="42"/>
      <c r="K10" s="42">
        <f>SUM(I10*J10)</f>
        <v>0</v>
      </c>
      <c r="L10" s="42"/>
      <c r="M10" s="42"/>
      <c r="N10" s="42"/>
      <c r="O10" s="42">
        <f t="shared" si="16"/>
        <v>0</v>
      </c>
      <c r="P10" s="42"/>
      <c r="Q10" s="42">
        <v>1</v>
      </c>
      <c r="R10" s="42">
        <v>1744</v>
      </c>
      <c r="S10" s="46">
        <f t="shared" si="8"/>
        <v>1744</v>
      </c>
      <c r="T10" s="46">
        <f>3200*Q10-S10</f>
        <v>1456</v>
      </c>
      <c r="U10" s="42"/>
      <c r="V10" s="42"/>
      <c r="W10" s="42">
        <f>SUM(U10*V10)</f>
        <v>0</v>
      </c>
      <c r="X10" s="42"/>
      <c r="Y10" s="42"/>
      <c r="Z10" s="42"/>
      <c r="AA10" s="42">
        <f t="shared" si="9"/>
        <v>0</v>
      </c>
      <c r="AB10" s="46">
        <f t="shared" si="17"/>
        <v>0</v>
      </c>
      <c r="AC10" s="42">
        <v>1</v>
      </c>
      <c r="AD10" s="42">
        <v>1744</v>
      </c>
      <c r="AE10" s="42">
        <f t="shared" si="18"/>
        <v>1744</v>
      </c>
      <c r="AF10" s="46"/>
      <c r="AG10" s="46">
        <f t="shared" si="19"/>
        <v>1744</v>
      </c>
      <c r="AH10" s="46">
        <f t="shared" si="10"/>
        <v>1456</v>
      </c>
      <c r="AI10" s="42"/>
      <c r="AJ10" s="42"/>
      <c r="AK10" s="42"/>
      <c r="AL10" s="42"/>
      <c r="AM10" s="42">
        <v>1</v>
      </c>
      <c r="AN10" s="42">
        <v>1888</v>
      </c>
      <c r="AO10" s="42">
        <f t="shared" si="20"/>
        <v>1888</v>
      </c>
      <c r="AP10" s="77">
        <f>AO10*25%</f>
        <v>472</v>
      </c>
      <c r="AQ10" s="77"/>
      <c r="AR10" s="50">
        <f>AO10+AP10+AQ10</f>
        <v>2360</v>
      </c>
      <c r="AS10" s="50">
        <f>3200*AM10-AO10</f>
        <v>1312</v>
      </c>
      <c r="AT10" s="42"/>
      <c r="AU10" s="42"/>
      <c r="AV10" s="42">
        <f>SUM(AT10*AU10)</f>
        <v>0</v>
      </c>
      <c r="AW10" s="42"/>
      <c r="AX10" s="42">
        <v>2</v>
      </c>
      <c r="AY10" s="42">
        <v>1600</v>
      </c>
      <c r="AZ10" s="42">
        <f t="shared" si="21"/>
        <v>3200</v>
      </c>
      <c r="BA10" s="46">
        <f t="shared" si="0"/>
        <v>1280</v>
      </c>
      <c r="BB10" s="46">
        <f t="shared" si="1"/>
        <v>4480</v>
      </c>
      <c r="BC10" s="46">
        <f t="shared" si="22"/>
        <v>3200</v>
      </c>
      <c r="BD10" s="42">
        <v>1.5</v>
      </c>
      <c r="BE10" s="42">
        <v>1888</v>
      </c>
      <c r="BF10" s="46">
        <f t="shared" si="2"/>
        <v>2832</v>
      </c>
      <c r="BG10" s="46">
        <f t="shared" si="23"/>
        <v>396.48</v>
      </c>
      <c r="BH10" s="42"/>
      <c r="BI10" s="42">
        <f t="shared" si="12"/>
        <v>3228.48</v>
      </c>
      <c r="BJ10" s="46">
        <f t="shared" si="24"/>
        <v>1968</v>
      </c>
      <c r="BK10" s="42">
        <v>0.5</v>
      </c>
      <c r="BL10" s="42">
        <v>1744</v>
      </c>
      <c r="BM10" s="46">
        <f t="shared" si="3"/>
        <v>872</v>
      </c>
      <c r="BN10" s="42">
        <f t="shared" si="4"/>
        <v>87.2</v>
      </c>
      <c r="BO10" s="42"/>
      <c r="BP10" s="42">
        <f t="shared" si="5"/>
        <v>959.2</v>
      </c>
      <c r="BQ10" s="42">
        <f aca="true" t="shared" si="34" ref="BQ10:BQ15">3200*BK10-BM10</f>
        <v>728</v>
      </c>
      <c r="BR10" s="42"/>
      <c r="BS10" s="42"/>
      <c r="BT10" s="42"/>
      <c r="BU10" s="42">
        <f t="shared" si="6"/>
        <v>0</v>
      </c>
      <c r="BV10" s="42"/>
      <c r="BW10" s="42"/>
      <c r="BX10" s="42"/>
      <c r="BY10" s="42"/>
      <c r="BZ10" s="42">
        <f t="shared" si="25"/>
        <v>0</v>
      </c>
      <c r="CA10" s="42"/>
      <c r="CB10" s="42">
        <v>1</v>
      </c>
      <c r="CC10" s="42">
        <v>1744</v>
      </c>
      <c r="CD10" s="42">
        <f t="shared" si="26"/>
        <v>1744</v>
      </c>
      <c r="CE10" s="46">
        <f>SUM(CB10*CC10*10%)</f>
        <v>174.4</v>
      </c>
      <c r="CF10" s="46">
        <f t="shared" si="27"/>
        <v>1918.4</v>
      </c>
      <c r="CG10" s="42">
        <f t="shared" si="13"/>
        <v>1456</v>
      </c>
      <c r="CH10" s="42">
        <v>0.25</v>
      </c>
      <c r="CI10" s="42">
        <v>1744</v>
      </c>
      <c r="CJ10" s="42">
        <f t="shared" si="28"/>
        <v>436</v>
      </c>
      <c r="CK10" s="42">
        <f t="shared" si="29"/>
        <v>52.32</v>
      </c>
      <c r="CL10" s="42">
        <f t="shared" si="30"/>
        <v>488.32</v>
      </c>
      <c r="CM10" s="42">
        <f>3200*CH10-CJ10</f>
        <v>364</v>
      </c>
      <c r="CN10" s="42">
        <v>1</v>
      </c>
      <c r="CO10" s="42">
        <v>2320</v>
      </c>
      <c r="CP10" s="42">
        <f t="shared" si="31"/>
        <v>2320</v>
      </c>
      <c r="CQ10" s="42">
        <f t="shared" si="32"/>
        <v>232</v>
      </c>
      <c r="CR10" s="46">
        <f t="shared" si="33"/>
        <v>2552</v>
      </c>
      <c r="CS10" s="46">
        <f aca="true" t="shared" si="35" ref="CS10:CS15">3200*CN10-CP10</f>
        <v>880</v>
      </c>
      <c r="CT10" s="46"/>
      <c r="CU10" s="46"/>
      <c r="CV10" s="46"/>
      <c r="CW10" s="42">
        <f>E10+I10+M10+Q10+U10+Y10+AC10+AM10+AT10+AX10+BD10+BK10+BR10+BW10+CB10+CH10+CN10</f>
        <v>9.75</v>
      </c>
      <c r="CX10" s="46">
        <f t="shared" si="14"/>
        <v>33894.4</v>
      </c>
      <c r="CY10" s="58"/>
      <c r="CZ10" s="58"/>
      <c r="DA10" s="58"/>
      <c r="DB10" s="58"/>
      <c r="DC10" s="59"/>
      <c r="DD10" s="59"/>
      <c r="DE10" s="59"/>
      <c r="DF10" s="59"/>
      <c r="DG10" s="59"/>
      <c r="DH10" s="59"/>
      <c r="DI10" s="59"/>
      <c r="DJ10" s="59"/>
    </row>
    <row r="11" spans="1:114" s="12" customFormat="1" ht="45" customHeight="1">
      <c r="A11" s="45" t="s">
        <v>25</v>
      </c>
      <c r="B11" s="42">
        <v>5</v>
      </c>
      <c r="C11" s="42">
        <v>5</v>
      </c>
      <c r="D11" s="42">
        <v>45</v>
      </c>
      <c r="E11" s="42"/>
      <c r="F11" s="42"/>
      <c r="G11" s="46">
        <f t="shared" si="7"/>
        <v>0</v>
      </c>
      <c r="H11" s="46"/>
      <c r="I11" s="42"/>
      <c r="J11" s="42"/>
      <c r="K11" s="42">
        <f t="shared" si="15"/>
        <v>0</v>
      </c>
      <c r="L11" s="42"/>
      <c r="M11" s="42"/>
      <c r="N11" s="42"/>
      <c r="O11" s="42">
        <f t="shared" si="16"/>
        <v>0</v>
      </c>
      <c r="P11" s="42"/>
      <c r="Q11" s="42"/>
      <c r="R11" s="42"/>
      <c r="S11" s="42">
        <f t="shared" si="8"/>
        <v>0</v>
      </c>
      <c r="T11" s="42"/>
      <c r="U11" s="42"/>
      <c r="V11" s="42"/>
      <c r="W11" s="42">
        <f>SUM(U11*V11)</f>
        <v>0</v>
      </c>
      <c r="X11" s="42"/>
      <c r="Y11" s="42">
        <v>1</v>
      </c>
      <c r="Z11" s="42">
        <v>1888</v>
      </c>
      <c r="AA11" s="46">
        <f t="shared" si="9"/>
        <v>1888</v>
      </c>
      <c r="AB11" s="46">
        <f t="shared" si="17"/>
        <v>1312</v>
      </c>
      <c r="AC11" s="42">
        <v>3</v>
      </c>
      <c r="AD11" s="42">
        <v>1744</v>
      </c>
      <c r="AE11" s="42">
        <f t="shared" si="18"/>
        <v>5232</v>
      </c>
      <c r="AF11" s="46"/>
      <c r="AG11" s="46">
        <f t="shared" si="19"/>
        <v>5232</v>
      </c>
      <c r="AH11" s="46">
        <f t="shared" si="10"/>
        <v>4368</v>
      </c>
      <c r="AI11" s="42"/>
      <c r="AJ11" s="42"/>
      <c r="AK11" s="42"/>
      <c r="AL11" s="42"/>
      <c r="AM11" s="42"/>
      <c r="AN11" s="42"/>
      <c r="AO11" s="42">
        <f t="shared" si="20"/>
        <v>0</v>
      </c>
      <c r="AP11" s="42"/>
      <c r="AQ11" s="42"/>
      <c r="AR11" s="42">
        <f t="shared" si="11"/>
        <v>0</v>
      </c>
      <c r="AS11" s="50">
        <f>3200*AM11-AR11</f>
        <v>0</v>
      </c>
      <c r="AT11" s="42">
        <v>0.5</v>
      </c>
      <c r="AU11" s="42">
        <v>1600</v>
      </c>
      <c r="AV11" s="42">
        <f>SUM(AT11*AU11)</f>
        <v>800</v>
      </c>
      <c r="AW11" s="42">
        <f>3200*AT11-AV11</f>
        <v>800</v>
      </c>
      <c r="AX11" s="42">
        <v>1</v>
      </c>
      <c r="AY11" s="42">
        <v>1600</v>
      </c>
      <c r="AZ11" s="42">
        <f t="shared" si="21"/>
        <v>1600</v>
      </c>
      <c r="BA11" s="46">
        <f t="shared" si="0"/>
        <v>640</v>
      </c>
      <c r="BB11" s="46">
        <f t="shared" si="1"/>
        <v>2240</v>
      </c>
      <c r="BC11" s="46">
        <f t="shared" si="22"/>
        <v>1600</v>
      </c>
      <c r="BD11" s="42">
        <v>0.25</v>
      </c>
      <c r="BE11" s="42">
        <v>1888</v>
      </c>
      <c r="BF11" s="42">
        <f t="shared" si="2"/>
        <v>472</v>
      </c>
      <c r="BG11" s="46">
        <f t="shared" si="23"/>
        <v>66.08000000000001</v>
      </c>
      <c r="BH11" s="46"/>
      <c r="BI11" s="46">
        <f t="shared" si="12"/>
        <v>538.08</v>
      </c>
      <c r="BJ11" s="46">
        <f t="shared" si="24"/>
        <v>328</v>
      </c>
      <c r="BK11" s="42"/>
      <c r="BL11" s="42"/>
      <c r="BM11" s="46">
        <f t="shared" si="3"/>
        <v>0</v>
      </c>
      <c r="BN11" s="42">
        <f t="shared" si="4"/>
        <v>0</v>
      </c>
      <c r="BO11" s="42"/>
      <c r="BP11" s="42">
        <f t="shared" si="5"/>
        <v>0</v>
      </c>
      <c r="BQ11" s="42">
        <f t="shared" si="34"/>
        <v>0</v>
      </c>
      <c r="BR11" s="42"/>
      <c r="BS11" s="42"/>
      <c r="BT11" s="42"/>
      <c r="BU11" s="42">
        <f t="shared" si="6"/>
        <v>0</v>
      </c>
      <c r="BV11" s="42"/>
      <c r="BW11" s="42"/>
      <c r="BX11" s="42"/>
      <c r="BY11" s="42"/>
      <c r="BZ11" s="42">
        <f t="shared" si="25"/>
        <v>0</v>
      </c>
      <c r="CA11" s="42"/>
      <c r="CB11" s="42">
        <v>1.5</v>
      </c>
      <c r="CC11" s="42">
        <v>1744</v>
      </c>
      <c r="CD11" s="42">
        <f t="shared" si="26"/>
        <v>2616</v>
      </c>
      <c r="CE11" s="46">
        <f>SUM(CB11*CC11*10%)</f>
        <v>261.6</v>
      </c>
      <c r="CF11" s="42">
        <f t="shared" si="27"/>
        <v>2877.6</v>
      </c>
      <c r="CG11" s="42">
        <f t="shared" si="13"/>
        <v>2184</v>
      </c>
      <c r="CH11" s="42"/>
      <c r="CI11" s="42"/>
      <c r="CJ11" s="42">
        <f t="shared" si="28"/>
        <v>0</v>
      </c>
      <c r="CK11" s="42">
        <f t="shared" si="29"/>
        <v>0</v>
      </c>
      <c r="CL11" s="42">
        <f t="shared" si="30"/>
        <v>0</v>
      </c>
      <c r="CM11" s="42"/>
      <c r="CN11" s="42"/>
      <c r="CO11" s="42"/>
      <c r="CP11" s="42">
        <f t="shared" si="31"/>
        <v>0</v>
      </c>
      <c r="CQ11" s="42">
        <f t="shared" si="32"/>
        <v>0</v>
      </c>
      <c r="CR11" s="42">
        <f t="shared" si="33"/>
        <v>0</v>
      </c>
      <c r="CS11" s="46">
        <f t="shared" si="35"/>
        <v>0</v>
      </c>
      <c r="CT11" s="42"/>
      <c r="CU11" s="42"/>
      <c r="CV11" s="42"/>
      <c r="CW11" s="42">
        <f>E11+I11+M11+Q11+U11+Y11+AC11+AM11+AT11+AX11+BD11+BK11+BR11+BW11+CB11+CH11+CN11</f>
        <v>7.25</v>
      </c>
      <c r="CX11" s="46">
        <f t="shared" si="14"/>
        <v>24167.68</v>
      </c>
      <c r="CY11" s="58"/>
      <c r="CZ11" s="58"/>
      <c r="DA11" s="58"/>
      <c r="DB11" s="58"/>
      <c r="DC11" s="59"/>
      <c r="DD11" s="59"/>
      <c r="DE11" s="59"/>
      <c r="DF11" s="59"/>
      <c r="DG11" s="59"/>
      <c r="DH11" s="59"/>
      <c r="DI11" s="59"/>
      <c r="DJ11" s="59"/>
    </row>
    <row r="12" spans="1:106" s="51" customFormat="1" ht="45" customHeight="1">
      <c r="A12" s="49"/>
      <c r="B12" s="50"/>
      <c r="C12" s="50"/>
      <c r="D12" s="50"/>
      <c r="E12" s="50"/>
      <c r="F12" s="50"/>
      <c r="G12" s="77"/>
      <c r="H12" s="77"/>
      <c r="I12" s="50"/>
      <c r="J12" s="50"/>
      <c r="K12" s="50"/>
      <c r="L12" s="50"/>
      <c r="M12" s="50"/>
      <c r="N12" s="50"/>
      <c r="O12" s="50"/>
      <c r="P12" s="50"/>
      <c r="Q12" s="50"/>
      <c r="R12" s="42"/>
      <c r="S12" s="77"/>
      <c r="T12" s="77"/>
      <c r="U12" s="50"/>
      <c r="V12" s="50"/>
      <c r="W12" s="50"/>
      <c r="X12" s="50"/>
      <c r="Y12" s="50"/>
      <c r="Z12" s="42"/>
      <c r="AA12" s="77"/>
      <c r="AB12" s="46">
        <f t="shared" si="17"/>
        <v>0</v>
      </c>
      <c r="AC12" s="50"/>
      <c r="AD12" s="42"/>
      <c r="AE12" s="42"/>
      <c r="AF12" s="46"/>
      <c r="AG12" s="46"/>
      <c r="AH12" s="46">
        <f t="shared" si="10"/>
        <v>0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42"/>
      <c r="AV12" s="50"/>
      <c r="AW12" s="42">
        <f>3200*AT12-AV12</f>
        <v>0</v>
      </c>
      <c r="AX12" s="50"/>
      <c r="AY12" s="42"/>
      <c r="AZ12" s="50"/>
      <c r="BA12" s="77"/>
      <c r="BB12" s="77"/>
      <c r="BC12" s="46">
        <f t="shared" si="22"/>
        <v>0</v>
      </c>
      <c r="BD12" s="50"/>
      <c r="BE12" s="42"/>
      <c r="BF12" s="77"/>
      <c r="BG12" s="50"/>
      <c r="BH12" s="50"/>
      <c r="BI12" s="50"/>
      <c r="BJ12" s="46">
        <f t="shared" si="24"/>
        <v>0</v>
      </c>
      <c r="BK12" s="50"/>
      <c r="BL12" s="42"/>
      <c r="BM12" s="77"/>
      <c r="BN12" s="50"/>
      <c r="BO12" s="50"/>
      <c r="BP12" s="50"/>
      <c r="BQ12" s="42">
        <f t="shared" si="34"/>
        <v>0</v>
      </c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42"/>
      <c r="CD12" s="50"/>
      <c r="CE12" s="50"/>
      <c r="CF12" s="50"/>
      <c r="CG12" s="42">
        <f t="shared" si="13"/>
        <v>0</v>
      </c>
      <c r="CH12" s="50"/>
      <c r="CI12" s="42"/>
      <c r="CJ12" s="50"/>
      <c r="CK12" s="50"/>
      <c r="CL12" s="50"/>
      <c r="CM12" s="50"/>
      <c r="CN12" s="50"/>
      <c r="CO12" s="50"/>
      <c r="CP12" s="50"/>
      <c r="CQ12" s="50"/>
      <c r="CR12" s="50"/>
      <c r="CS12" s="46">
        <f t="shared" si="35"/>
        <v>0</v>
      </c>
      <c r="CT12" s="50"/>
      <c r="CU12" s="50"/>
      <c r="CV12" s="50"/>
      <c r="CW12" s="42"/>
      <c r="CX12" s="46">
        <f t="shared" si="14"/>
        <v>0</v>
      </c>
      <c r="CY12" s="63"/>
      <c r="CZ12" s="63"/>
      <c r="DA12" s="63"/>
      <c r="DB12" s="63"/>
    </row>
    <row r="13" spans="1:114" s="12" customFormat="1" ht="45" customHeight="1">
      <c r="A13" s="45" t="s">
        <v>26</v>
      </c>
      <c r="B13" s="42">
        <v>6</v>
      </c>
      <c r="C13" s="42">
        <v>6</v>
      </c>
      <c r="D13" s="42">
        <v>33</v>
      </c>
      <c r="E13" s="42"/>
      <c r="F13" s="42"/>
      <c r="G13" s="46">
        <f t="shared" si="7"/>
        <v>0</v>
      </c>
      <c r="H13" s="46"/>
      <c r="I13" s="42"/>
      <c r="J13" s="42"/>
      <c r="K13" s="42">
        <f t="shared" si="15"/>
        <v>0</v>
      </c>
      <c r="L13" s="42"/>
      <c r="M13" s="42"/>
      <c r="N13" s="42"/>
      <c r="O13" s="42">
        <f t="shared" si="16"/>
        <v>0</v>
      </c>
      <c r="P13" s="42"/>
      <c r="Q13" s="42">
        <v>0.5</v>
      </c>
      <c r="R13" s="42">
        <v>1744</v>
      </c>
      <c r="S13" s="46">
        <f t="shared" si="8"/>
        <v>872</v>
      </c>
      <c r="T13" s="46">
        <f>3200*Q13-S13</f>
        <v>728</v>
      </c>
      <c r="U13" s="42">
        <v>1</v>
      </c>
      <c r="V13" s="42">
        <v>1600</v>
      </c>
      <c r="W13" s="42">
        <f>SUM(U13*V13)</f>
        <v>1600</v>
      </c>
      <c r="X13" s="46">
        <f>3200*U13-W13</f>
        <v>1600</v>
      </c>
      <c r="Y13" s="42">
        <v>1</v>
      </c>
      <c r="Z13" s="42">
        <v>1888</v>
      </c>
      <c r="AA13" s="46">
        <f t="shared" si="9"/>
        <v>1888</v>
      </c>
      <c r="AB13" s="46">
        <f t="shared" si="17"/>
        <v>1312</v>
      </c>
      <c r="AC13" s="42">
        <v>3</v>
      </c>
      <c r="AD13" s="42">
        <v>1744</v>
      </c>
      <c r="AE13" s="42">
        <f t="shared" si="18"/>
        <v>5232</v>
      </c>
      <c r="AF13" s="46">
        <f>(AC13*AD13)*10%</f>
        <v>523.2</v>
      </c>
      <c r="AG13" s="46">
        <f>SUM(AC13*AD13)+AF13</f>
        <v>5755.2</v>
      </c>
      <c r="AH13" s="46">
        <f t="shared" si="10"/>
        <v>4368</v>
      </c>
      <c r="AI13" s="42"/>
      <c r="AJ13" s="42"/>
      <c r="AK13" s="42"/>
      <c r="AL13" s="42"/>
      <c r="AM13" s="42"/>
      <c r="AN13" s="42"/>
      <c r="AO13" s="42">
        <f t="shared" si="20"/>
        <v>0</v>
      </c>
      <c r="AP13" s="42"/>
      <c r="AQ13" s="42"/>
      <c r="AR13" s="42">
        <f t="shared" si="11"/>
        <v>0</v>
      </c>
      <c r="AS13" s="42"/>
      <c r="AT13" s="42">
        <v>0.5</v>
      </c>
      <c r="AU13" s="42">
        <v>1600</v>
      </c>
      <c r="AV13" s="42">
        <f>SUM(AT13*AU13)</f>
        <v>800</v>
      </c>
      <c r="AW13" s="42">
        <f>3200*AT13-AV13</f>
        <v>800</v>
      </c>
      <c r="AX13" s="42">
        <v>1</v>
      </c>
      <c r="AY13" s="42">
        <v>1600</v>
      </c>
      <c r="AZ13" s="42">
        <f t="shared" si="21"/>
        <v>1600</v>
      </c>
      <c r="BA13" s="46">
        <f t="shared" si="0"/>
        <v>640</v>
      </c>
      <c r="BB13" s="46">
        <f t="shared" si="1"/>
        <v>2240</v>
      </c>
      <c r="BC13" s="46">
        <f t="shared" si="22"/>
        <v>1600</v>
      </c>
      <c r="BD13" s="42">
        <v>1</v>
      </c>
      <c r="BE13" s="42">
        <v>1888</v>
      </c>
      <c r="BF13" s="42">
        <f t="shared" si="2"/>
        <v>1888</v>
      </c>
      <c r="BG13" s="46">
        <f t="shared" si="23"/>
        <v>264.32000000000005</v>
      </c>
      <c r="BH13" s="42"/>
      <c r="BI13" s="46">
        <f t="shared" si="12"/>
        <v>2152.32</v>
      </c>
      <c r="BJ13" s="46">
        <f t="shared" si="24"/>
        <v>1312</v>
      </c>
      <c r="BK13" s="42"/>
      <c r="BL13" s="42"/>
      <c r="BM13" s="46">
        <f t="shared" si="3"/>
        <v>0</v>
      </c>
      <c r="BN13" s="42">
        <f t="shared" si="4"/>
        <v>0</v>
      </c>
      <c r="BO13" s="42"/>
      <c r="BP13" s="42">
        <f t="shared" si="5"/>
        <v>0</v>
      </c>
      <c r="BQ13" s="42">
        <f t="shared" si="34"/>
        <v>0</v>
      </c>
      <c r="BR13" s="42"/>
      <c r="BS13" s="42"/>
      <c r="BT13" s="42"/>
      <c r="BU13" s="42">
        <f t="shared" si="6"/>
        <v>0</v>
      </c>
      <c r="BV13" s="42"/>
      <c r="BW13" s="42"/>
      <c r="BX13" s="42"/>
      <c r="BY13" s="42"/>
      <c r="BZ13" s="42">
        <f t="shared" si="25"/>
        <v>0</v>
      </c>
      <c r="CA13" s="42"/>
      <c r="CB13" s="42">
        <v>2</v>
      </c>
      <c r="CC13" s="42">
        <v>1744</v>
      </c>
      <c r="CD13" s="42">
        <f t="shared" si="26"/>
        <v>3488</v>
      </c>
      <c r="CE13" s="46">
        <f aca="true" t="shared" si="36" ref="CE13:CE36">SUM(CB13*CC13*10%)</f>
        <v>348.8</v>
      </c>
      <c r="CF13" s="46">
        <f t="shared" si="27"/>
        <v>3836.8</v>
      </c>
      <c r="CG13" s="42">
        <f t="shared" si="13"/>
        <v>2912</v>
      </c>
      <c r="CH13" s="42"/>
      <c r="CI13" s="42"/>
      <c r="CJ13" s="42">
        <f t="shared" si="28"/>
        <v>0</v>
      </c>
      <c r="CK13" s="42">
        <f t="shared" si="29"/>
        <v>0</v>
      </c>
      <c r="CL13" s="42">
        <f t="shared" si="30"/>
        <v>0</v>
      </c>
      <c r="CM13" s="42"/>
      <c r="CN13" s="42"/>
      <c r="CO13" s="42"/>
      <c r="CP13" s="42">
        <f t="shared" si="31"/>
        <v>0</v>
      </c>
      <c r="CQ13" s="42">
        <f t="shared" si="32"/>
        <v>0</v>
      </c>
      <c r="CR13" s="42">
        <f t="shared" si="33"/>
        <v>0</v>
      </c>
      <c r="CS13" s="46">
        <f t="shared" si="35"/>
        <v>0</v>
      </c>
      <c r="CT13" s="42"/>
      <c r="CU13" s="42"/>
      <c r="CV13" s="42"/>
      <c r="CW13" s="42">
        <f>E13+I13+M13+Q13+U13+Y13+AC13+AM13+AT13+AX13+BD13+BK13+BR13+BW13+CB13+CH13+CN13</f>
        <v>10</v>
      </c>
      <c r="CX13" s="46">
        <f t="shared" si="14"/>
        <v>33776.32</v>
      </c>
      <c r="CY13" s="58"/>
      <c r="CZ13" s="58"/>
      <c r="DA13" s="58"/>
      <c r="DB13" s="58"/>
      <c r="DC13" s="59"/>
      <c r="DD13" s="59"/>
      <c r="DE13" s="59"/>
      <c r="DF13" s="59"/>
      <c r="DG13" s="59"/>
      <c r="DH13" s="59"/>
      <c r="DI13" s="59"/>
      <c r="DJ13" s="59"/>
    </row>
    <row r="14" spans="1:114" s="12" customFormat="1" ht="45" customHeight="1">
      <c r="A14" s="45" t="s">
        <v>27</v>
      </c>
      <c r="B14" s="42">
        <v>5</v>
      </c>
      <c r="C14" s="42">
        <v>6</v>
      </c>
      <c r="D14" s="42">
        <v>41</v>
      </c>
      <c r="E14" s="42"/>
      <c r="F14" s="42"/>
      <c r="G14" s="46">
        <f t="shared" si="7"/>
        <v>0</v>
      </c>
      <c r="H14" s="46"/>
      <c r="I14" s="42"/>
      <c r="J14" s="42"/>
      <c r="K14" s="42">
        <f t="shared" si="15"/>
        <v>0</v>
      </c>
      <c r="L14" s="42"/>
      <c r="M14" s="42"/>
      <c r="N14" s="42"/>
      <c r="O14" s="42">
        <f t="shared" si="16"/>
        <v>0</v>
      </c>
      <c r="P14" s="42"/>
      <c r="Q14" s="42">
        <v>0.5</v>
      </c>
      <c r="R14" s="42">
        <v>1744</v>
      </c>
      <c r="S14" s="46">
        <f t="shared" si="8"/>
        <v>872</v>
      </c>
      <c r="T14" s="46">
        <f>3200*Q14-S14</f>
        <v>728</v>
      </c>
      <c r="U14" s="42"/>
      <c r="V14" s="42"/>
      <c r="W14" s="46">
        <f>SUM(U14*V14)</f>
        <v>0</v>
      </c>
      <c r="X14" s="46"/>
      <c r="Y14" s="42">
        <v>1</v>
      </c>
      <c r="Z14" s="42">
        <v>1888</v>
      </c>
      <c r="AA14" s="46">
        <f t="shared" si="9"/>
        <v>1888</v>
      </c>
      <c r="AB14" s="46">
        <f t="shared" si="17"/>
        <v>1312</v>
      </c>
      <c r="AC14" s="42">
        <v>3</v>
      </c>
      <c r="AD14" s="42">
        <v>1744</v>
      </c>
      <c r="AE14" s="42">
        <f t="shared" si="18"/>
        <v>5232</v>
      </c>
      <c r="AF14" s="46"/>
      <c r="AG14" s="46">
        <f t="shared" si="19"/>
        <v>5232</v>
      </c>
      <c r="AH14" s="46">
        <f t="shared" si="10"/>
        <v>4368</v>
      </c>
      <c r="AI14" s="42"/>
      <c r="AJ14" s="42"/>
      <c r="AK14" s="42"/>
      <c r="AL14" s="42"/>
      <c r="AM14" s="42"/>
      <c r="AN14" s="42"/>
      <c r="AO14" s="42">
        <f t="shared" si="20"/>
        <v>0</v>
      </c>
      <c r="AP14" s="42"/>
      <c r="AQ14" s="42"/>
      <c r="AR14" s="42">
        <f t="shared" si="11"/>
        <v>0</v>
      </c>
      <c r="AS14" s="42"/>
      <c r="AT14" s="42"/>
      <c r="AU14" s="42"/>
      <c r="AV14" s="42">
        <f>SUM(AT14*AU14)</f>
        <v>0</v>
      </c>
      <c r="AW14" s="42"/>
      <c r="AX14" s="42">
        <v>1</v>
      </c>
      <c r="AY14" s="42">
        <v>1600</v>
      </c>
      <c r="AZ14" s="42">
        <f t="shared" si="21"/>
        <v>1600</v>
      </c>
      <c r="BA14" s="46">
        <f t="shared" si="0"/>
        <v>640</v>
      </c>
      <c r="BB14" s="46">
        <f t="shared" si="1"/>
        <v>2240</v>
      </c>
      <c r="BC14" s="46">
        <f t="shared" si="22"/>
        <v>1600</v>
      </c>
      <c r="BD14" s="42">
        <v>1</v>
      </c>
      <c r="BE14" s="42">
        <v>1888</v>
      </c>
      <c r="BF14" s="42">
        <f t="shared" si="2"/>
        <v>1888</v>
      </c>
      <c r="BG14" s="46">
        <f t="shared" si="23"/>
        <v>264.32000000000005</v>
      </c>
      <c r="BH14" s="42"/>
      <c r="BI14" s="46">
        <f t="shared" si="12"/>
        <v>2152.32</v>
      </c>
      <c r="BJ14" s="46">
        <f t="shared" si="24"/>
        <v>1312</v>
      </c>
      <c r="BK14" s="42"/>
      <c r="BL14" s="42"/>
      <c r="BM14" s="46">
        <f t="shared" si="3"/>
        <v>0</v>
      </c>
      <c r="BN14" s="42">
        <f t="shared" si="4"/>
        <v>0</v>
      </c>
      <c r="BO14" s="42"/>
      <c r="BP14" s="42">
        <f t="shared" si="5"/>
        <v>0</v>
      </c>
      <c r="BQ14" s="42">
        <f t="shared" si="34"/>
        <v>0</v>
      </c>
      <c r="BR14" s="42"/>
      <c r="BS14" s="42"/>
      <c r="BT14" s="42"/>
      <c r="BU14" s="42">
        <f t="shared" si="6"/>
        <v>0</v>
      </c>
      <c r="BV14" s="42"/>
      <c r="BW14" s="42"/>
      <c r="BX14" s="42"/>
      <c r="BY14" s="42"/>
      <c r="BZ14" s="42">
        <f t="shared" si="25"/>
        <v>0</v>
      </c>
      <c r="CA14" s="42"/>
      <c r="CB14" s="42">
        <v>1.75</v>
      </c>
      <c r="CC14" s="42">
        <v>1744</v>
      </c>
      <c r="CD14" s="42">
        <f t="shared" si="26"/>
        <v>3052</v>
      </c>
      <c r="CE14" s="42">
        <f t="shared" si="36"/>
        <v>305.2</v>
      </c>
      <c r="CF14" s="46">
        <f t="shared" si="27"/>
        <v>3357.2</v>
      </c>
      <c r="CG14" s="42">
        <f t="shared" si="13"/>
        <v>2548</v>
      </c>
      <c r="CH14" s="42"/>
      <c r="CI14" s="42"/>
      <c r="CJ14" s="42">
        <f t="shared" si="28"/>
        <v>0</v>
      </c>
      <c r="CK14" s="42">
        <f t="shared" si="29"/>
        <v>0</v>
      </c>
      <c r="CL14" s="42">
        <f t="shared" si="30"/>
        <v>0</v>
      </c>
      <c r="CM14" s="42"/>
      <c r="CN14" s="42"/>
      <c r="CO14" s="42"/>
      <c r="CP14" s="42">
        <f t="shared" si="31"/>
        <v>0</v>
      </c>
      <c r="CQ14" s="42">
        <f t="shared" si="32"/>
        <v>0</v>
      </c>
      <c r="CR14" s="42">
        <f t="shared" si="33"/>
        <v>0</v>
      </c>
      <c r="CS14" s="46">
        <f t="shared" si="35"/>
        <v>0</v>
      </c>
      <c r="CT14" s="42"/>
      <c r="CU14" s="42"/>
      <c r="CV14" s="42"/>
      <c r="CW14" s="42">
        <f>E14+I14+M14+Q14+U14+Y14+AC14+AM14+AT14+AX14+BD14+BK14+BR14+BW14+CB14+CH14+CN14</f>
        <v>8.25</v>
      </c>
      <c r="CX14" s="46">
        <f t="shared" si="14"/>
        <v>27609.52</v>
      </c>
      <c r="CY14" s="58"/>
      <c r="CZ14" s="58"/>
      <c r="DA14" s="58"/>
      <c r="DB14" s="58"/>
      <c r="DC14" s="59"/>
      <c r="DD14" s="59"/>
      <c r="DE14" s="59"/>
      <c r="DF14" s="59"/>
      <c r="DG14" s="59"/>
      <c r="DH14" s="59"/>
      <c r="DI14" s="59"/>
      <c r="DJ14" s="59"/>
    </row>
    <row r="15" spans="1:114" s="12" customFormat="1" ht="45" customHeight="1">
      <c r="A15" s="45" t="s">
        <v>28</v>
      </c>
      <c r="B15" s="42">
        <v>3</v>
      </c>
      <c r="C15" s="42">
        <v>3</v>
      </c>
      <c r="D15" s="42">
        <v>31</v>
      </c>
      <c r="E15" s="42">
        <v>0.5</v>
      </c>
      <c r="F15" s="42">
        <v>2624</v>
      </c>
      <c r="G15" s="46">
        <f t="shared" si="7"/>
        <v>1312</v>
      </c>
      <c r="H15" s="46">
        <f>3200*E15-G15</f>
        <v>288</v>
      </c>
      <c r="I15" s="42"/>
      <c r="J15" s="42"/>
      <c r="K15" s="42">
        <f t="shared" si="15"/>
        <v>0</v>
      </c>
      <c r="L15" s="42"/>
      <c r="M15" s="42"/>
      <c r="N15" s="42"/>
      <c r="O15" s="42">
        <f t="shared" si="16"/>
        <v>0</v>
      </c>
      <c r="P15" s="42"/>
      <c r="Q15" s="42">
        <v>1</v>
      </c>
      <c r="R15" s="42">
        <v>1744</v>
      </c>
      <c r="S15" s="46">
        <f t="shared" si="8"/>
        <v>1744</v>
      </c>
      <c r="T15" s="46">
        <f>3200*Q15-S15</f>
        <v>1456</v>
      </c>
      <c r="U15" s="42"/>
      <c r="V15" s="42"/>
      <c r="W15" s="42">
        <f>SUM(U15*V15)</f>
        <v>0</v>
      </c>
      <c r="X15" s="42"/>
      <c r="Y15" s="42">
        <v>1</v>
      </c>
      <c r="Z15" s="42">
        <v>1888</v>
      </c>
      <c r="AA15" s="42">
        <f t="shared" si="9"/>
        <v>1888</v>
      </c>
      <c r="AB15" s="46">
        <f t="shared" si="17"/>
        <v>1312</v>
      </c>
      <c r="AC15" s="42">
        <v>2</v>
      </c>
      <c r="AD15" s="42">
        <v>1744</v>
      </c>
      <c r="AE15" s="42">
        <f t="shared" si="18"/>
        <v>3488</v>
      </c>
      <c r="AF15" s="46"/>
      <c r="AG15" s="46">
        <f t="shared" si="19"/>
        <v>3488</v>
      </c>
      <c r="AH15" s="46">
        <f t="shared" si="10"/>
        <v>2912</v>
      </c>
      <c r="AI15" s="42"/>
      <c r="AJ15" s="42"/>
      <c r="AK15" s="42"/>
      <c r="AL15" s="42"/>
      <c r="AM15" s="42"/>
      <c r="AN15" s="42"/>
      <c r="AO15" s="42">
        <f t="shared" si="20"/>
        <v>0</v>
      </c>
      <c r="AP15" s="42"/>
      <c r="AQ15" s="42"/>
      <c r="AR15" s="42">
        <f t="shared" si="11"/>
        <v>0</v>
      </c>
      <c r="AS15" s="42"/>
      <c r="AT15" s="42"/>
      <c r="AU15" s="42"/>
      <c r="AV15" s="42">
        <f>SUM(AT15*AU15)</f>
        <v>0</v>
      </c>
      <c r="AW15" s="42"/>
      <c r="AX15" s="42">
        <v>1</v>
      </c>
      <c r="AY15" s="42">
        <v>1600</v>
      </c>
      <c r="AZ15" s="42">
        <f t="shared" si="21"/>
        <v>1600</v>
      </c>
      <c r="BA15" s="46">
        <f t="shared" si="0"/>
        <v>640</v>
      </c>
      <c r="BB15" s="46">
        <f t="shared" si="1"/>
        <v>2240</v>
      </c>
      <c r="BC15" s="46">
        <f t="shared" si="22"/>
        <v>1600</v>
      </c>
      <c r="BD15" s="42">
        <v>1.5</v>
      </c>
      <c r="BE15" s="42">
        <v>1888</v>
      </c>
      <c r="BF15" s="46">
        <f t="shared" si="2"/>
        <v>2832</v>
      </c>
      <c r="BG15" s="46">
        <f t="shared" si="23"/>
        <v>396.48</v>
      </c>
      <c r="BH15" s="42"/>
      <c r="BI15" s="42">
        <f t="shared" si="12"/>
        <v>3228.48</v>
      </c>
      <c r="BJ15" s="46">
        <f t="shared" si="24"/>
        <v>1968</v>
      </c>
      <c r="BK15" s="42">
        <v>0.5</v>
      </c>
      <c r="BL15" s="42">
        <v>1744</v>
      </c>
      <c r="BM15" s="46">
        <f t="shared" si="3"/>
        <v>872</v>
      </c>
      <c r="BN15" s="42">
        <f t="shared" si="4"/>
        <v>87.2</v>
      </c>
      <c r="BO15" s="42"/>
      <c r="BP15" s="42">
        <f t="shared" si="5"/>
        <v>959.2</v>
      </c>
      <c r="BQ15" s="42">
        <f t="shared" si="34"/>
        <v>728</v>
      </c>
      <c r="BR15" s="42"/>
      <c r="BS15" s="42"/>
      <c r="BT15" s="42"/>
      <c r="BU15" s="42">
        <f t="shared" si="6"/>
        <v>0</v>
      </c>
      <c r="BV15" s="42"/>
      <c r="BW15" s="42"/>
      <c r="BX15" s="42"/>
      <c r="BY15" s="42"/>
      <c r="BZ15" s="42">
        <f t="shared" si="25"/>
        <v>0</v>
      </c>
      <c r="CA15" s="42"/>
      <c r="CB15" s="42">
        <v>1.25</v>
      </c>
      <c r="CC15" s="42">
        <v>1744</v>
      </c>
      <c r="CD15" s="42">
        <f t="shared" si="26"/>
        <v>2180</v>
      </c>
      <c r="CE15" s="42">
        <f t="shared" si="36"/>
        <v>218</v>
      </c>
      <c r="CF15" s="46">
        <f t="shared" si="27"/>
        <v>2398</v>
      </c>
      <c r="CG15" s="42">
        <f t="shared" si="13"/>
        <v>1820</v>
      </c>
      <c r="CH15" s="42">
        <v>0.25</v>
      </c>
      <c r="CI15" s="42">
        <v>1744</v>
      </c>
      <c r="CJ15" s="42">
        <f t="shared" si="28"/>
        <v>436</v>
      </c>
      <c r="CK15" s="42">
        <f t="shared" si="29"/>
        <v>52.32</v>
      </c>
      <c r="CL15" s="42">
        <f t="shared" si="30"/>
        <v>488.32</v>
      </c>
      <c r="CM15" s="42">
        <f>3200*CH15-CJ15</f>
        <v>364</v>
      </c>
      <c r="CN15" s="42">
        <v>1.15</v>
      </c>
      <c r="CO15" s="42">
        <v>2320</v>
      </c>
      <c r="CP15" s="42">
        <f t="shared" si="31"/>
        <v>2668</v>
      </c>
      <c r="CQ15" s="42">
        <f t="shared" si="32"/>
        <v>266.8</v>
      </c>
      <c r="CR15" s="46">
        <f t="shared" si="33"/>
        <v>2934.8</v>
      </c>
      <c r="CS15" s="46">
        <f t="shared" si="35"/>
        <v>1011.9999999999995</v>
      </c>
      <c r="CT15" s="46"/>
      <c r="CU15" s="46"/>
      <c r="CV15" s="46"/>
      <c r="CW15" s="42">
        <f>E15+I15+M15+Q15+U15+Y15+AC15+AM15+AT15+AX15+BD15+BK15+BR15+BW15+CB15+CH15+CN15</f>
        <v>10.15</v>
      </c>
      <c r="CX15" s="46">
        <f t="shared" si="14"/>
        <v>34140.8</v>
      </c>
      <c r="CY15" s="58"/>
      <c r="CZ15" s="58"/>
      <c r="DA15" s="58"/>
      <c r="DB15" s="58"/>
      <c r="DC15" s="59"/>
      <c r="DD15" s="59"/>
      <c r="DE15" s="59"/>
      <c r="DF15" s="59"/>
      <c r="DG15" s="59"/>
      <c r="DH15" s="59"/>
      <c r="DI15" s="59"/>
      <c r="DJ15" s="59"/>
    </row>
    <row r="16" spans="1:121" s="4" customFormat="1" ht="45" customHeight="1">
      <c r="A16" s="43" t="s">
        <v>29</v>
      </c>
      <c r="B16" s="44">
        <f>B8+B9+B10+B11+B12+B13+B14+B15</f>
        <v>32</v>
      </c>
      <c r="C16" s="44">
        <f aca="true" t="shared" si="37" ref="C16:CM16">C8+C9+C10+C11+C12+C13+C14+C15</f>
        <v>34</v>
      </c>
      <c r="D16" s="44">
        <f t="shared" si="37"/>
        <v>253</v>
      </c>
      <c r="E16" s="44">
        <f t="shared" si="37"/>
        <v>1</v>
      </c>
      <c r="F16" s="44"/>
      <c r="G16" s="70">
        <f t="shared" si="37"/>
        <v>2624</v>
      </c>
      <c r="H16" s="70">
        <f t="shared" si="37"/>
        <v>576</v>
      </c>
      <c r="I16" s="44">
        <f t="shared" si="37"/>
        <v>0</v>
      </c>
      <c r="J16" s="44">
        <f t="shared" si="37"/>
        <v>0</v>
      </c>
      <c r="K16" s="44">
        <f t="shared" si="37"/>
        <v>0</v>
      </c>
      <c r="L16" s="44"/>
      <c r="M16" s="44">
        <f t="shared" si="37"/>
        <v>0</v>
      </c>
      <c r="N16" s="44">
        <f t="shared" si="37"/>
        <v>0</v>
      </c>
      <c r="O16" s="44">
        <f t="shared" si="37"/>
        <v>0</v>
      </c>
      <c r="P16" s="44"/>
      <c r="Q16" s="44">
        <f t="shared" si="37"/>
        <v>3</v>
      </c>
      <c r="R16" s="44"/>
      <c r="S16" s="70">
        <f t="shared" si="37"/>
        <v>5232</v>
      </c>
      <c r="T16" s="70">
        <f t="shared" si="37"/>
        <v>4368</v>
      </c>
      <c r="U16" s="44">
        <f t="shared" si="37"/>
        <v>1</v>
      </c>
      <c r="V16" s="44">
        <f t="shared" si="37"/>
        <v>1600</v>
      </c>
      <c r="W16" s="70">
        <f t="shared" si="37"/>
        <v>1600</v>
      </c>
      <c r="X16" s="70">
        <f t="shared" si="37"/>
        <v>1600</v>
      </c>
      <c r="Y16" s="44">
        <f t="shared" si="37"/>
        <v>6</v>
      </c>
      <c r="Z16" s="44"/>
      <c r="AA16" s="70">
        <f t="shared" si="37"/>
        <v>11328</v>
      </c>
      <c r="AB16" s="70">
        <f t="shared" si="37"/>
        <v>7872</v>
      </c>
      <c r="AC16" s="44">
        <f t="shared" si="37"/>
        <v>16</v>
      </c>
      <c r="AD16" s="44"/>
      <c r="AE16" s="44">
        <f t="shared" si="37"/>
        <v>27904</v>
      </c>
      <c r="AF16" s="70">
        <f t="shared" si="37"/>
        <v>523.2</v>
      </c>
      <c r="AG16" s="70">
        <f t="shared" si="37"/>
        <v>28427.2</v>
      </c>
      <c r="AH16" s="70">
        <f t="shared" si="37"/>
        <v>23296</v>
      </c>
      <c r="AI16" s="44">
        <f t="shared" si="37"/>
        <v>0</v>
      </c>
      <c r="AJ16" s="44"/>
      <c r="AK16" s="44">
        <f t="shared" si="37"/>
        <v>0</v>
      </c>
      <c r="AL16" s="44"/>
      <c r="AM16" s="44">
        <f>SUM(AM8:AM15)</f>
        <v>1</v>
      </c>
      <c r="AN16" s="44">
        <f t="shared" si="37"/>
        <v>1888</v>
      </c>
      <c r="AO16" s="44">
        <f t="shared" si="37"/>
        <v>1888</v>
      </c>
      <c r="AP16" s="70">
        <f>SUM(AP10:AP15)</f>
        <v>472</v>
      </c>
      <c r="AQ16" s="44">
        <f t="shared" si="37"/>
        <v>0</v>
      </c>
      <c r="AR16" s="44">
        <f t="shared" si="37"/>
        <v>2360</v>
      </c>
      <c r="AS16" s="44">
        <f t="shared" si="37"/>
        <v>1312</v>
      </c>
      <c r="AT16" s="44">
        <f t="shared" si="37"/>
        <v>1</v>
      </c>
      <c r="AU16" s="44"/>
      <c r="AV16" s="44">
        <f t="shared" si="37"/>
        <v>1600</v>
      </c>
      <c r="AW16" s="44">
        <f t="shared" si="37"/>
        <v>1600</v>
      </c>
      <c r="AX16" s="44">
        <f t="shared" si="37"/>
        <v>8</v>
      </c>
      <c r="AY16" s="44"/>
      <c r="AZ16" s="44">
        <f t="shared" si="37"/>
        <v>12800</v>
      </c>
      <c r="BA16" s="70">
        <f t="shared" si="37"/>
        <v>5120</v>
      </c>
      <c r="BB16" s="70">
        <f t="shared" si="37"/>
        <v>17920</v>
      </c>
      <c r="BC16" s="70">
        <f t="shared" si="37"/>
        <v>12800</v>
      </c>
      <c r="BD16" s="44">
        <f t="shared" si="37"/>
        <v>7.25</v>
      </c>
      <c r="BE16" s="44"/>
      <c r="BF16" s="44">
        <f t="shared" si="37"/>
        <v>13688</v>
      </c>
      <c r="BG16" s="70">
        <f t="shared" si="37"/>
        <v>1916.3200000000002</v>
      </c>
      <c r="BH16" s="44"/>
      <c r="BI16" s="70">
        <f t="shared" si="37"/>
        <v>15604.32</v>
      </c>
      <c r="BJ16" s="70">
        <f t="shared" si="37"/>
        <v>9512</v>
      </c>
      <c r="BK16" s="44">
        <f t="shared" si="37"/>
        <v>1</v>
      </c>
      <c r="BL16" s="44"/>
      <c r="BM16" s="44">
        <f t="shared" si="37"/>
        <v>1744</v>
      </c>
      <c r="BN16" s="44">
        <f t="shared" si="37"/>
        <v>174.4</v>
      </c>
      <c r="BO16" s="44"/>
      <c r="BP16" s="44">
        <f t="shared" si="37"/>
        <v>1918.4</v>
      </c>
      <c r="BQ16" s="44">
        <f t="shared" si="37"/>
        <v>1456</v>
      </c>
      <c r="BR16" s="44">
        <f t="shared" si="37"/>
        <v>0</v>
      </c>
      <c r="BS16" s="44">
        <f t="shared" si="37"/>
        <v>0</v>
      </c>
      <c r="BT16" s="44"/>
      <c r="BU16" s="44">
        <f t="shared" si="37"/>
        <v>0</v>
      </c>
      <c r="BV16" s="44"/>
      <c r="BW16" s="44">
        <f t="shared" si="37"/>
        <v>0</v>
      </c>
      <c r="BX16" s="44">
        <f t="shared" si="37"/>
        <v>0</v>
      </c>
      <c r="BY16" s="44"/>
      <c r="BZ16" s="44">
        <f t="shared" si="37"/>
        <v>0</v>
      </c>
      <c r="CA16" s="44"/>
      <c r="CB16" s="44">
        <f t="shared" si="37"/>
        <v>9.5</v>
      </c>
      <c r="CC16" s="44"/>
      <c r="CD16" s="44">
        <f t="shared" si="37"/>
        <v>16568</v>
      </c>
      <c r="CE16" s="70">
        <f t="shared" si="37"/>
        <v>1656.8000000000002</v>
      </c>
      <c r="CF16" s="70">
        <f t="shared" si="37"/>
        <v>18224.800000000003</v>
      </c>
      <c r="CG16" s="70">
        <f t="shared" si="37"/>
        <v>13832</v>
      </c>
      <c r="CH16" s="44">
        <f t="shared" si="37"/>
        <v>0.5</v>
      </c>
      <c r="CI16" s="44"/>
      <c r="CJ16" s="44">
        <f t="shared" si="37"/>
        <v>872</v>
      </c>
      <c r="CK16" s="44">
        <f t="shared" si="37"/>
        <v>104.64</v>
      </c>
      <c r="CL16" s="44">
        <f t="shared" si="37"/>
        <v>976.64</v>
      </c>
      <c r="CM16" s="44">
        <f t="shared" si="37"/>
        <v>728</v>
      </c>
      <c r="CN16" s="44">
        <f aca="true" t="shared" si="38" ref="CN16:CW16">CN8+CN9+CN10+CN11+CN12+CN13+CN14+CN15</f>
        <v>2.15</v>
      </c>
      <c r="CO16" s="44"/>
      <c r="CP16" s="44">
        <f t="shared" si="38"/>
        <v>4988</v>
      </c>
      <c r="CQ16" s="44">
        <f t="shared" si="38"/>
        <v>498.8</v>
      </c>
      <c r="CR16" s="44">
        <f t="shared" si="38"/>
        <v>5486.8</v>
      </c>
      <c r="CS16" s="44">
        <f t="shared" si="38"/>
        <v>1891.9999999999995</v>
      </c>
      <c r="CT16" s="44"/>
      <c r="CU16" s="44"/>
      <c r="CV16" s="44"/>
      <c r="CW16" s="44">
        <f t="shared" si="38"/>
        <v>57.4</v>
      </c>
      <c r="CX16" s="70">
        <f>CX8+CX9+CX10+CX11+CX12+CX13+CX14+CX15</f>
        <v>194146.15999999997</v>
      </c>
      <c r="CY16" s="58"/>
      <c r="CZ16" s="58"/>
      <c r="DA16" s="58"/>
      <c r="DB16" s="58"/>
      <c r="DC16" s="59"/>
      <c r="DD16" s="59"/>
      <c r="DE16" s="59"/>
      <c r="DF16" s="59"/>
      <c r="DG16" s="59"/>
      <c r="DH16" s="59"/>
      <c r="DI16" s="59"/>
      <c r="DJ16" s="59"/>
      <c r="DK16" s="12"/>
      <c r="DL16" s="12"/>
      <c r="DM16" s="12"/>
      <c r="DN16" s="12"/>
      <c r="DO16" s="12"/>
      <c r="DP16" s="12"/>
      <c r="DQ16" s="12"/>
    </row>
    <row r="17" spans="1:114" s="12" customFormat="1" ht="45" customHeight="1">
      <c r="A17" s="45" t="s">
        <v>30</v>
      </c>
      <c r="B17" s="42">
        <v>17</v>
      </c>
      <c r="C17" s="42">
        <v>17</v>
      </c>
      <c r="D17" s="42">
        <v>436</v>
      </c>
      <c r="E17" s="42">
        <v>1</v>
      </c>
      <c r="F17" s="42">
        <v>2624</v>
      </c>
      <c r="G17" s="46">
        <f>SUM(E17*F17)</f>
        <v>2624</v>
      </c>
      <c r="H17" s="46">
        <f>3200*E17-G17</f>
        <v>576</v>
      </c>
      <c r="I17" s="42">
        <v>1</v>
      </c>
      <c r="J17" s="42">
        <v>2176</v>
      </c>
      <c r="K17" s="42">
        <f t="shared" si="15"/>
        <v>2176</v>
      </c>
      <c r="L17" s="42">
        <f>3200*I17-K17</f>
        <v>1024</v>
      </c>
      <c r="M17" s="42">
        <v>0.5</v>
      </c>
      <c r="N17" s="42">
        <v>2032</v>
      </c>
      <c r="O17" s="46">
        <f t="shared" si="16"/>
        <v>1016</v>
      </c>
      <c r="P17" s="46">
        <f>3200*M17-O17</f>
        <v>584</v>
      </c>
      <c r="Q17" s="42">
        <v>1</v>
      </c>
      <c r="R17" s="42">
        <v>1744</v>
      </c>
      <c r="S17" s="46">
        <f>SUM(Q17*R17)</f>
        <v>1744</v>
      </c>
      <c r="T17" s="46">
        <f>3200*Q17-S17</f>
        <v>1456</v>
      </c>
      <c r="U17" s="42">
        <v>1</v>
      </c>
      <c r="V17" s="42">
        <v>1600</v>
      </c>
      <c r="W17" s="46">
        <f>SUM(U17*V17)</f>
        <v>1600</v>
      </c>
      <c r="X17" s="46">
        <f>3200*U17-W17</f>
        <v>1600</v>
      </c>
      <c r="Y17" s="42">
        <v>1</v>
      </c>
      <c r="Z17" s="42">
        <v>1888</v>
      </c>
      <c r="AA17" s="46">
        <f>SUM(Y17*Z17)</f>
        <v>1888</v>
      </c>
      <c r="AB17" s="46">
        <f t="shared" si="17"/>
        <v>1312</v>
      </c>
      <c r="AC17" s="42">
        <v>1</v>
      </c>
      <c r="AD17" s="42">
        <v>1744</v>
      </c>
      <c r="AE17" s="42">
        <f>AC17*AD17</f>
        <v>1744</v>
      </c>
      <c r="AF17" s="42"/>
      <c r="AG17" s="46">
        <f t="shared" si="19"/>
        <v>1744</v>
      </c>
      <c r="AH17" s="46">
        <f>3200*AC17-AG17</f>
        <v>1456</v>
      </c>
      <c r="AI17" s="42"/>
      <c r="AJ17" s="42"/>
      <c r="AK17" s="42"/>
      <c r="AL17" s="42"/>
      <c r="AM17" s="42"/>
      <c r="AN17" s="42"/>
      <c r="AO17" s="42">
        <f t="shared" si="20"/>
        <v>0</v>
      </c>
      <c r="AP17" s="42"/>
      <c r="AQ17" s="42"/>
      <c r="AR17" s="42">
        <f>SUM(AO17+AQ17)</f>
        <v>0</v>
      </c>
      <c r="AS17" s="42"/>
      <c r="AT17" s="42"/>
      <c r="AU17" s="42"/>
      <c r="AV17" s="42">
        <f>SUM(AT17*AU17)</f>
        <v>0</v>
      </c>
      <c r="AW17" s="42"/>
      <c r="AX17" s="42">
        <v>1</v>
      </c>
      <c r="AY17" s="42">
        <v>1600</v>
      </c>
      <c r="AZ17" s="42">
        <f t="shared" si="21"/>
        <v>1600</v>
      </c>
      <c r="BA17" s="46">
        <f t="shared" si="0"/>
        <v>640</v>
      </c>
      <c r="BB17" s="46">
        <f t="shared" si="1"/>
        <v>2240</v>
      </c>
      <c r="BC17" s="46">
        <f t="shared" si="22"/>
        <v>1600</v>
      </c>
      <c r="BD17" s="42"/>
      <c r="BE17" s="42"/>
      <c r="BF17" s="42">
        <f t="shared" si="2"/>
        <v>0</v>
      </c>
      <c r="BG17" s="42">
        <f>SUM(BF17*10%)</f>
        <v>0</v>
      </c>
      <c r="BH17" s="42"/>
      <c r="BI17" s="42">
        <f>SUM(BF17+BG17)</f>
        <v>0</v>
      </c>
      <c r="BJ17" s="42"/>
      <c r="BK17" s="42"/>
      <c r="BL17" s="42"/>
      <c r="BM17" s="42">
        <f t="shared" si="3"/>
        <v>0</v>
      </c>
      <c r="BN17" s="42">
        <f t="shared" si="4"/>
        <v>0</v>
      </c>
      <c r="BO17" s="42"/>
      <c r="BP17" s="42">
        <f t="shared" si="5"/>
        <v>0</v>
      </c>
      <c r="BQ17" s="42"/>
      <c r="BR17" s="42"/>
      <c r="BS17" s="42"/>
      <c r="BT17" s="42"/>
      <c r="BU17" s="42">
        <f t="shared" si="6"/>
        <v>0</v>
      </c>
      <c r="BV17" s="42"/>
      <c r="BW17" s="42"/>
      <c r="BX17" s="42"/>
      <c r="BY17" s="42"/>
      <c r="BZ17" s="42">
        <f t="shared" si="25"/>
        <v>0</v>
      </c>
      <c r="CA17" s="42"/>
      <c r="CB17" s="42">
        <v>5</v>
      </c>
      <c r="CC17" s="42">
        <v>1744</v>
      </c>
      <c r="CD17" s="42">
        <f t="shared" si="26"/>
        <v>8720</v>
      </c>
      <c r="CE17" s="46">
        <f t="shared" si="36"/>
        <v>872</v>
      </c>
      <c r="CF17" s="46">
        <f t="shared" si="27"/>
        <v>9592</v>
      </c>
      <c r="CG17" s="42">
        <f>3200*CB17-CD17</f>
        <v>7280</v>
      </c>
      <c r="CH17" s="42"/>
      <c r="CI17" s="42"/>
      <c r="CJ17" s="42">
        <f t="shared" si="28"/>
        <v>0</v>
      </c>
      <c r="CK17" s="42">
        <f t="shared" si="29"/>
        <v>0</v>
      </c>
      <c r="CL17" s="42">
        <f t="shared" si="30"/>
        <v>0</v>
      </c>
      <c r="CM17" s="42"/>
      <c r="CN17" s="42"/>
      <c r="CO17" s="42"/>
      <c r="CP17" s="42">
        <f t="shared" si="31"/>
        <v>0</v>
      </c>
      <c r="CQ17" s="42">
        <f t="shared" si="32"/>
        <v>0</v>
      </c>
      <c r="CR17" s="42">
        <f t="shared" si="33"/>
        <v>0</v>
      </c>
      <c r="CS17" s="42"/>
      <c r="CT17" s="42"/>
      <c r="CU17" s="42"/>
      <c r="CV17" s="42"/>
      <c r="CW17" s="42">
        <f>E17+I17+M17+Q17+U17+Y17+AC17+AM17+AT17+AX17+BD17+BK17+BR17+BW17+CB17+CH17+CN17</f>
        <v>12.5</v>
      </c>
      <c r="CX17" s="46">
        <f>G17+H17+K17+L17+O17+P17+S17+T17+W17+X17+AA17+AB17+AG17+AH17+AK17+AL17+AR17+AS17+AV17+AW17+BB17+BC17+BI17+BJ17+BP17+BQ17+BU17+BV17+BZ17+CA17+CF17+CG17+CL17+CM17+CR17+CS17+CU17+CV17</f>
        <v>41512</v>
      </c>
      <c r="CY17" s="58"/>
      <c r="CZ17" s="58"/>
      <c r="DA17" s="58"/>
      <c r="DB17" s="58"/>
      <c r="DC17" s="59"/>
      <c r="DD17" s="59"/>
      <c r="DE17" s="59"/>
      <c r="DF17" s="59"/>
      <c r="DG17" s="59"/>
      <c r="DH17" s="59"/>
      <c r="DI17" s="59"/>
      <c r="DJ17" s="59"/>
    </row>
    <row r="18" spans="1:114" s="12" customFormat="1" ht="45" customHeight="1">
      <c r="A18" s="45" t="s">
        <v>31</v>
      </c>
      <c r="B18" s="42">
        <v>27</v>
      </c>
      <c r="C18" s="42">
        <v>27</v>
      </c>
      <c r="D18" s="42">
        <v>667</v>
      </c>
      <c r="E18" s="42">
        <v>1</v>
      </c>
      <c r="F18" s="42">
        <v>2624</v>
      </c>
      <c r="G18" s="46">
        <f>SUM(E18*F18)</f>
        <v>2624</v>
      </c>
      <c r="H18" s="46">
        <f>3200*E18-G18</f>
        <v>576</v>
      </c>
      <c r="I18" s="42">
        <v>1</v>
      </c>
      <c r="J18" s="42">
        <v>2176</v>
      </c>
      <c r="K18" s="42">
        <f t="shared" si="15"/>
        <v>2176</v>
      </c>
      <c r="L18" s="42">
        <f>3200*I18-K18</f>
        <v>1024</v>
      </c>
      <c r="M18" s="42">
        <v>1</v>
      </c>
      <c r="N18" s="42">
        <v>2032</v>
      </c>
      <c r="O18" s="46">
        <f t="shared" si="16"/>
        <v>2032</v>
      </c>
      <c r="P18" s="46">
        <f>3200*M18-O18</f>
        <v>1168</v>
      </c>
      <c r="Q18" s="42">
        <v>2</v>
      </c>
      <c r="R18" s="42">
        <v>1744</v>
      </c>
      <c r="S18" s="46">
        <f>SUM(Q18*R18)</f>
        <v>3488</v>
      </c>
      <c r="T18" s="46">
        <f>3200*Q18-S18</f>
        <v>2912</v>
      </c>
      <c r="U18" s="42">
        <v>1</v>
      </c>
      <c r="V18" s="42">
        <v>1600</v>
      </c>
      <c r="W18" s="46">
        <f>SUM(U18*V18)</f>
        <v>1600</v>
      </c>
      <c r="X18" s="46">
        <f>3200*U18-W18</f>
        <v>1600</v>
      </c>
      <c r="Y18" s="42">
        <v>1</v>
      </c>
      <c r="Z18" s="42">
        <v>1888</v>
      </c>
      <c r="AA18" s="42">
        <f>SUM(Y18*Z18)</f>
        <v>1888</v>
      </c>
      <c r="AB18" s="46">
        <f t="shared" si="17"/>
        <v>1312</v>
      </c>
      <c r="AC18" s="42">
        <v>2</v>
      </c>
      <c r="AD18" s="42">
        <v>1744</v>
      </c>
      <c r="AE18" s="42">
        <f>AC18*AD18</f>
        <v>3488</v>
      </c>
      <c r="AF18" s="42"/>
      <c r="AG18" s="42">
        <f t="shared" si="19"/>
        <v>3488</v>
      </c>
      <c r="AH18" s="46">
        <f>3200*AC18-AG18</f>
        <v>2912</v>
      </c>
      <c r="AI18" s="42">
        <v>1</v>
      </c>
      <c r="AJ18" s="42">
        <v>1744</v>
      </c>
      <c r="AK18" s="42">
        <f>AI18*AJ18</f>
        <v>1744</v>
      </c>
      <c r="AL18" s="42">
        <f>3200*AI18-AK18</f>
        <v>1456</v>
      </c>
      <c r="AM18" s="42">
        <v>2</v>
      </c>
      <c r="AN18" s="42">
        <v>1888</v>
      </c>
      <c r="AO18" s="42">
        <f t="shared" si="20"/>
        <v>3776</v>
      </c>
      <c r="AP18" s="77">
        <f>AO18*25%</f>
        <v>944</v>
      </c>
      <c r="AQ18" s="77"/>
      <c r="AR18" s="46">
        <f>SUM(AO18+AQ18+AP18)</f>
        <v>4720</v>
      </c>
      <c r="AS18" s="50">
        <f>3200*AM18-AO18</f>
        <v>2624</v>
      </c>
      <c r="AT18" s="42"/>
      <c r="AU18" s="42"/>
      <c r="AV18" s="42">
        <f>SUM(AT18*AU18)</f>
        <v>0</v>
      </c>
      <c r="AW18" s="42"/>
      <c r="AX18" s="42">
        <v>2</v>
      </c>
      <c r="AY18" s="42">
        <v>1600</v>
      </c>
      <c r="AZ18" s="42">
        <f t="shared" si="21"/>
        <v>3200</v>
      </c>
      <c r="BA18" s="46">
        <f t="shared" si="0"/>
        <v>1280</v>
      </c>
      <c r="BB18" s="46">
        <f t="shared" si="1"/>
        <v>4480</v>
      </c>
      <c r="BC18" s="46">
        <f t="shared" si="22"/>
        <v>3200</v>
      </c>
      <c r="BD18" s="42">
        <v>3.5</v>
      </c>
      <c r="BE18" s="42">
        <v>1888</v>
      </c>
      <c r="BF18" s="42">
        <f t="shared" si="2"/>
        <v>6608</v>
      </c>
      <c r="BG18" s="46">
        <f>SUM(BF18*14%)</f>
        <v>925.1200000000001</v>
      </c>
      <c r="BH18" s="46"/>
      <c r="BI18" s="46">
        <f>BF18+BG18+BH18</f>
        <v>7533.12</v>
      </c>
      <c r="BJ18" s="46">
        <f>3200*BD18-BF18</f>
        <v>4592</v>
      </c>
      <c r="BK18" s="42">
        <v>1</v>
      </c>
      <c r="BL18" s="42">
        <v>1744</v>
      </c>
      <c r="BM18" s="42">
        <f t="shared" si="3"/>
        <v>1744</v>
      </c>
      <c r="BN18" s="77">
        <f t="shared" si="4"/>
        <v>174.4</v>
      </c>
      <c r="BO18" s="42"/>
      <c r="BP18" s="46">
        <f>BM18+BN18+BO18</f>
        <v>1918.4</v>
      </c>
      <c r="BQ18" s="42">
        <f>3200*BK18-BM18</f>
        <v>1456</v>
      </c>
      <c r="BR18" s="42">
        <v>1</v>
      </c>
      <c r="BS18" s="42">
        <v>1744</v>
      </c>
      <c r="BT18" s="46"/>
      <c r="BU18" s="46">
        <f>BS18+BT18</f>
        <v>1744</v>
      </c>
      <c r="BV18" s="46">
        <f>3200*BR18-BU18</f>
        <v>1456</v>
      </c>
      <c r="BW18" s="42">
        <v>1</v>
      </c>
      <c r="BX18" s="42">
        <v>1936</v>
      </c>
      <c r="BY18" s="42"/>
      <c r="BZ18" s="42">
        <f t="shared" si="25"/>
        <v>1936</v>
      </c>
      <c r="CA18" s="42">
        <f>3200*BW18-BZ18</f>
        <v>1264</v>
      </c>
      <c r="CB18" s="42">
        <v>11.5</v>
      </c>
      <c r="CC18" s="42">
        <v>1744</v>
      </c>
      <c r="CD18" s="42">
        <f t="shared" si="26"/>
        <v>20056</v>
      </c>
      <c r="CE18" s="42">
        <f t="shared" si="36"/>
        <v>2005.6000000000001</v>
      </c>
      <c r="CF18" s="42">
        <f t="shared" si="27"/>
        <v>22061.6</v>
      </c>
      <c r="CG18" s="42">
        <f>3200*CB18-CD18</f>
        <v>16744</v>
      </c>
      <c r="CH18" s="42"/>
      <c r="CI18" s="42"/>
      <c r="CJ18" s="42">
        <f t="shared" si="28"/>
        <v>0</v>
      </c>
      <c r="CK18" s="42">
        <f t="shared" si="29"/>
        <v>0</v>
      </c>
      <c r="CL18" s="42">
        <f t="shared" si="30"/>
        <v>0</v>
      </c>
      <c r="CM18" s="42"/>
      <c r="CN18" s="42"/>
      <c r="CO18" s="42"/>
      <c r="CP18" s="42">
        <f t="shared" si="31"/>
        <v>0</v>
      </c>
      <c r="CQ18" s="42">
        <f t="shared" si="32"/>
        <v>0</v>
      </c>
      <c r="CR18" s="42">
        <f t="shared" si="33"/>
        <v>0</v>
      </c>
      <c r="CS18" s="42"/>
      <c r="CT18" s="42">
        <v>1</v>
      </c>
      <c r="CU18" s="42">
        <v>2464</v>
      </c>
      <c r="CV18" s="42">
        <f>3200*CT18-CU18</f>
        <v>736</v>
      </c>
      <c r="CW18" s="42">
        <f>E18+I18+M18+Q18+U18+Y18+AC18+AM18+AT18+AX18+BD18+BK18+BR18+BW18+CB18+CH18+CN18+CT18+AI18</f>
        <v>33</v>
      </c>
      <c r="CX18" s="46">
        <f>G18+H18+K18+L18+O18+P18+S18+T18+W18+X18+AA18+AB18+AG18+AH18+AK18+AL18+AR18+AS18+AV18+AW18+BB18+BC18+BI18+BJ18+BP18+BQ18+BU18+BV18+BZ18+CA18+CF18+CG18+CL18+CM18+CR18+CS18+CU18+CV18</f>
        <v>110929.12</v>
      </c>
      <c r="CY18" s="58"/>
      <c r="CZ18" s="58"/>
      <c r="DA18" s="58"/>
      <c r="DB18" s="58"/>
      <c r="DC18" s="59"/>
      <c r="DD18" s="59"/>
      <c r="DE18" s="59"/>
      <c r="DF18" s="59"/>
      <c r="DG18" s="59"/>
      <c r="DH18" s="59"/>
      <c r="DI18" s="59"/>
      <c r="DJ18" s="59"/>
    </row>
    <row r="19" spans="1:114" s="12" customFormat="1" ht="45" customHeight="1">
      <c r="A19" s="76"/>
      <c r="B19" s="42"/>
      <c r="C19" s="42"/>
      <c r="D19" s="42"/>
      <c r="E19" s="42"/>
      <c r="F19" s="42"/>
      <c r="G19" s="46"/>
      <c r="H19" s="46"/>
      <c r="I19" s="42"/>
      <c r="J19" s="42"/>
      <c r="K19" s="42"/>
      <c r="L19" s="42"/>
      <c r="M19" s="42"/>
      <c r="N19" s="42"/>
      <c r="O19" s="46">
        <f t="shared" si="16"/>
        <v>0</v>
      </c>
      <c r="P19" s="46"/>
      <c r="Q19" s="42"/>
      <c r="R19" s="42"/>
      <c r="S19" s="42"/>
      <c r="T19" s="42"/>
      <c r="U19" s="42"/>
      <c r="V19" s="42"/>
      <c r="W19" s="46"/>
      <c r="X19" s="46"/>
      <c r="Y19" s="42"/>
      <c r="Z19" s="42"/>
      <c r="AA19" s="42"/>
      <c r="AB19" s="42"/>
      <c r="AC19" s="42"/>
      <c r="AD19" s="42"/>
      <c r="AE19" s="42"/>
      <c r="AF19" s="42"/>
      <c r="AG19" s="42"/>
      <c r="AH19" s="46">
        <f>3200*AC19-AG19</f>
        <v>0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6"/>
      <c r="BB19" s="46"/>
      <c r="BC19" s="46">
        <f t="shared" si="22"/>
        <v>0</v>
      </c>
      <c r="BD19" s="42"/>
      <c r="BE19" s="42"/>
      <c r="BF19" s="42"/>
      <c r="BG19" s="42"/>
      <c r="BH19" s="46"/>
      <c r="BI19" s="46"/>
      <c r="BJ19" s="46">
        <f>3200*BD19-BF19</f>
        <v>0</v>
      </c>
      <c r="BK19" s="42"/>
      <c r="BL19" s="42"/>
      <c r="BM19" s="42"/>
      <c r="BN19" s="77"/>
      <c r="BO19" s="42"/>
      <c r="BP19" s="42"/>
      <c r="BQ19" s="42">
        <f>3200*BK19-BM19</f>
        <v>0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>
        <f>3200*CB19-CD19</f>
        <v>0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>
        <f>E19+I19+M19+Q19+U19+Y19+AC19+AM19+AT19+AX19+BD19+BK19+BR19+BW19+CB19+CH19+CN19</f>
        <v>0</v>
      </c>
      <c r="CX19" s="46">
        <f>G19+H19+K19+L19+O19+P19+S19+T19+W19+X19+AA19+AB19+AG19+AH19+AK19+AL19+AR19+AS19+AV19+AW19+BB19+BC19+BI19+BJ19+BP19+BQ19+BU19+BV19+BZ19+CA19+CF19+CG19+CL19+CM19+CR19+CS19+CU19+CV19</f>
        <v>0</v>
      </c>
      <c r="CY19" s="58"/>
      <c r="CZ19" s="58"/>
      <c r="DA19" s="58"/>
      <c r="DB19" s="58"/>
      <c r="DC19" s="59"/>
      <c r="DD19" s="59"/>
      <c r="DE19" s="59"/>
      <c r="DF19" s="59"/>
      <c r="DG19" s="59"/>
      <c r="DH19" s="59"/>
      <c r="DI19" s="59"/>
      <c r="DJ19" s="59"/>
    </row>
    <row r="20" spans="1:114" s="12" customFormat="1" ht="45" customHeight="1">
      <c r="A20" s="45" t="s">
        <v>32</v>
      </c>
      <c r="B20" s="42">
        <v>10</v>
      </c>
      <c r="C20" s="42">
        <v>10</v>
      </c>
      <c r="D20" s="42">
        <v>174</v>
      </c>
      <c r="E20" s="42">
        <v>1</v>
      </c>
      <c r="F20" s="42">
        <v>2624</v>
      </c>
      <c r="G20" s="46">
        <f>SUM(E20*F20)</f>
        <v>2624</v>
      </c>
      <c r="H20" s="46">
        <f>3200*E20-G20</f>
        <v>576</v>
      </c>
      <c r="I20" s="42">
        <v>0.5</v>
      </c>
      <c r="J20" s="42">
        <v>2176</v>
      </c>
      <c r="K20" s="42">
        <f t="shared" si="15"/>
        <v>1088</v>
      </c>
      <c r="L20" s="42">
        <f>3200*I20-K20</f>
        <v>512</v>
      </c>
      <c r="M20" s="42" t="s">
        <v>142</v>
      </c>
      <c r="N20" s="42"/>
      <c r="O20" s="46"/>
      <c r="P20" s="46"/>
      <c r="Q20" s="42">
        <v>1</v>
      </c>
      <c r="R20" s="42">
        <v>1744</v>
      </c>
      <c r="S20" s="46">
        <f>SUM(Q20*R20)</f>
        <v>1744</v>
      </c>
      <c r="T20" s="46">
        <f>3200*Q20-S20</f>
        <v>1456</v>
      </c>
      <c r="U20" s="42">
        <v>1</v>
      </c>
      <c r="V20" s="42">
        <v>1600</v>
      </c>
      <c r="W20" s="46">
        <f>SUM(U20*V20)</f>
        <v>1600</v>
      </c>
      <c r="X20" s="46">
        <f>3200*U20-W20</f>
        <v>1600</v>
      </c>
      <c r="Y20" s="42"/>
      <c r="Z20" s="42"/>
      <c r="AA20" s="42">
        <f>SUM(Y20*Z20)</f>
        <v>0</v>
      </c>
      <c r="AB20" s="42"/>
      <c r="AC20" s="42">
        <v>4</v>
      </c>
      <c r="AD20" s="42">
        <v>1744</v>
      </c>
      <c r="AE20" s="42">
        <f>AC20*AD20</f>
        <v>6976</v>
      </c>
      <c r="AF20" s="42"/>
      <c r="AG20" s="46">
        <f t="shared" si="19"/>
        <v>6976</v>
      </c>
      <c r="AH20" s="46">
        <f>3200*AC20-AG20</f>
        <v>5824</v>
      </c>
      <c r="AI20" s="42"/>
      <c r="AJ20" s="42"/>
      <c r="AK20" s="42"/>
      <c r="AL20" s="42"/>
      <c r="AM20" s="42"/>
      <c r="AN20" s="42"/>
      <c r="AO20" s="42">
        <f t="shared" si="20"/>
        <v>0</v>
      </c>
      <c r="AP20" s="42"/>
      <c r="AQ20" s="42"/>
      <c r="AR20" s="42">
        <f>SUM(AO20+AQ20)</f>
        <v>0</v>
      </c>
      <c r="AS20" s="42"/>
      <c r="AT20" s="42"/>
      <c r="AU20" s="42"/>
      <c r="AV20" s="42">
        <f>SUM(AT20*AU20)</f>
        <v>0</v>
      </c>
      <c r="AW20" s="42"/>
      <c r="AX20" s="42">
        <v>2</v>
      </c>
      <c r="AY20" s="42">
        <v>1600</v>
      </c>
      <c r="AZ20" s="42">
        <f t="shared" si="21"/>
        <v>3200</v>
      </c>
      <c r="BA20" s="46">
        <f t="shared" si="0"/>
        <v>1280</v>
      </c>
      <c r="BB20" s="46">
        <f t="shared" si="1"/>
        <v>4480</v>
      </c>
      <c r="BC20" s="46">
        <f t="shared" si="22"/>
        <v>3200</v>
      </c>
      <c r="BD20" s="42">
        <v>1</v>
      </c>
      <c r="BE20" s="42">
        <v>1888</v>
      </c>
      <c r="BF20" s="42">
        <f t="shared" si="2"/>
        <v>1888</v>
      </c>
      <c r="BG20" s="46">
        <f>SUM(BF20*14%)</f>
        <v>264.32000000000005</v>
      </c>
      <c r="BH20" s="46"/>
      <c r="BI20" s="46">
        <f>SUM(BF20+BG20)</f>
        <v>2152.32</v>
      </c>
      <c r="BJ20" s="46">
        <f>3200*BD20-BF20</f>
        <v>1312</v>
      </c>
      <c r="BK20" s="42">
        <v>1</v>
      </c>
      <c r="BL20" s="42">
        <v>1744</v>
      </c>
      <c r="BM20" s="42">
        <f t="shared" si="3"/>
        <v>1744</v>
      </c>
      <c r="BN20" s="46">
        <f t="shared" si="4"/>
        <v>174.4</v>
      </c>
      <c r="BO20" s="42"/>
      <c r="BP20" s="46">
        <f t="shared" si="5"/>
        <v>1918.4</v>
      </c>
      <c r="BQ20" s="42">
        <f>3200*BK20-BM20</f>
        <v>1456</v>
      </c>
      <c r="BR20" s="42"/>
      <c r="BS20" s="42"/>
      <c r="BT20" s="42"/>
      <c r="BU20" s="42">
        <f t="shared" si="6"/>
        <v>0</v>
      </c>
      <c r="BV20" s="42"/>
      <c r="BW20" s="42"/>
      <c r="BX20" s="42"/>
      <c r="BY20" s="42"/>
      <c r="BZ20" s="42">
        <f t="shared" si="25"/>
        <v>0</v>
      </c>
      <c r="CA20" s="42"/>
      <c r="CB20" s="42">
        <v>4</v>
      </c>
      <c r="CC20" s="42">
        <v>1744</v>
      </c>
      <c r="CD20" s="42">
        <f t="shared" si="26"/>
        <v>6976</v>
      </c>
      <c r="CE20" s="46">
        <f t="shared" si="36"/>
        <v>697.6</v>
      </c>
      <c r="CF20" s="46">
        <f t="shared" si="27"/>
        <v>7673.6</v>
      </c>
      <c r="CG20" s="42">
        <f>3200*CB20-CD20</f>
        <v>5824</v>
      </c>
      <c r="CH20" s="42"/>
      <c r="CI20" s="42"/>
      <c r="CJ20" s="42">
        <f t="shared" si="28"/>
        <v>0</v>
      </c>
      <c r="CK20" s="42">
        <f t="shared" si="29"/>
        <v>0</v>
      </c>
      <c r="CL20" s="42">
        <f t="shared" si="30"/>
        <v>0</v>
      </c>
      <c r="CM20" s="42"/>
      <c r="CN20" s="42"/>
      <c r="CO20" s="42"/>
      <c r="CP20" s="42">
        <f t="shared" si="31"/>
        <v>0</v>
      </c>
      <c r="CQ20" s="42">
        <f t="shared" si="32"/>
        <v>0</v>
      </c>
      <c r="CR20" s="42">
        <f t="shared" si="33"/>
        <v>0</v>
      </c>
      <c r="CS20" s="42"/>
      <c r="CT20" s="42"/>
      <c r="CU20" s="42"/>
      <c r="CV20" s="42"/>
      <c r="CW20" s="42">
        <v>15.5</v>
      </c>
      <c r="CX20" s="46">
        <f>G20+H20+K20+L20+O20+P20+S20+T20+W20+X20+AA20+AB20+AG20+AH20+AK20+AL20+AR20+AS20+AV20+AW20+BB20+BC20+BI20+BJ20+BP20+BQ20+BU20+BV20+BZ20+CA20+CF20+CG20+CL20+CM20+CR20+CS20+CU20+CV20</f>
        <v>52016.32</v>
      </c>
      <c r="CY20" s="58"/>
      <c r="CZ20" s="58"/>
      <c r="DA20" s="58"/>
      <c r="DB20" s="58"/>
      <c r="DC20" s="59"/>
      <c r="DD20" s="59"/>
      <c r="DE20" s="59"/>
      <c r="DF20" s="59"/>
      <c r="DG20" s="59"/>
      <c r="DH20" s="59"/>
      <c r="DI20" s="59"/>
      <c r="DJ20" s="59"/>
    </row>
    <row r="21" spans="1:121" s="4" customFormat="1" ht="45" customHeight="1">
      <c r="A21" s="43" t="s">
        <v>33</v>
      </c>
      <c r="B21" s="44">
        <f>SUM(B17+B18+B20)</f>
        <v>54</v>
      </c>
      <c r="C21" s="44">
        <f>SUM(C17+C18+C20)</f>
        <v>54</v>
      </c>
      <c r="D21" s="44">
        <f>SUM(D17+D18+D20)</f>
        <v>1277</v>
      </c>
      <c r="E21" s="44">
        <f>SUM(E17+E18+E20)</f>
        <v>3</v>
      </c>
      <c r="F21" s="44"/>
      <c r="G21" s="70">
        <f>SUM(G17+G18+G20)</f>
        <v>7872</v>
      </c>
      <c r="H21" s="70">
        <f>SUM(H17+H18+H20)</f>
        <v>1728</v>
      </c>
      <c r="I21" s="44">
        <f>SUM(I17+I18+I20)</f>
        <v>2.5</v>
      </c>
      <c r="J21" s="44"/>
      <c r="K21" s="44">
        <f>SUM(K17+K18+K20)</f>
        <v>5440</v>
      </c>
      <c r="L21" s="44">
        <f>SUM(L17+L18+L20)</f>
        <v>2560</v>
      </c>
      <c r="M21" s="70">
        <f>SUM(M17:M20)</f>
        <v>1.5</v>
      </c>
      <c r="N21" s="44"/>
      <c r="O21" s="70">
        <f>SUM(O17+O18+O20+O19)</f>
        <v>3048</v>
      </c>
      <c r="P21" s="70">
        <f>SUM(P17+P18+P20+P19)</f>
        <v>1752</v>
      </c>
      <c r="Q21" s="44">
        <f>SUM(Q17+Q18+Q20)</f>
        <v>4</v>
      </c>
      <c r="R21" s="44"/>
      <c r="S21" s="70">
        <f>SUM(S17+S18+S20)</f>
        <v>6976</v>
      </c>
      <c r="T21" s="70">
        <f>SUM(T17+T18+T20)</f>
        <v>5824</v>
      </c>
      <c r="U21" s="44">
        <f>SUM(U17+U18+U20)</f>
        <v>3</v>
      </c>
      <c r="V21" s="44"/>
      <c r="W21" s="70">
        <f>SUM(W17+W18+W20)</f>
        <v>4800</v>
      </c>
      <c r="X21" s="70">
        <f>SUM(X17+X18+X20)</f>
        <v>4800</v>
      </c>
      <c r="Y21" s="44">
        <f>SUM(Y17+Y18+Y20)</f>
        <v>2</v>
      </c>
      <c r="Z21" s="44"/>
      <c r="AA21" s="70">
        <f>SUM(AA17+AA18+AA20)</f>
        <v>3776</v>
      </c>
      <c r="AB21" s="70">
        <f>SUM(AB17+AB18+AB20)</f>
        <v>2624</v>
      </c>
      <c r="AC21" s="44">
        <f>SUM(AC17+AC18+AC20)</f>
        <v>7</v>
      </c>
      <c r="AD21" s="44"/>
      <c r="AE21" s="44">
        <f>SUM(AE17+AE18+AE20)</f>
        <v>12208</v>
      </c>
      <c r="AF21" s="44"/>
      <c r="AG21" s="70">
        <f aca="true" t="shared" si="39" ref="AG21:AO21">SUM(AG17+AG18+AG20)</f>
        <v>12208</v>
      </c>
      <c r="AH21" s="70">
        <f t="shared" si="39"/>
        <v>10192</v>
      </c>
      <c r="AI21" s="44">
        <f t="shared" si="39"/>
        <v>1</v>
      </c>
      <c r="AJ21" s="44"/>
      <c r="AK21" s="44">
        <f t="shared" si="39"/>
        <v>1744</v>
      </c>
      <c r="AL21" s="44">
        <f t="shared" si="39"/>
        <v>1456</v>
      </c>
      <c r="AM21" s="44">
        <f t="shared" si="39"/>
        <v>2</v>
      </c>
      <c r="AN21" s="44">
        <f t="shared" si="39"/>
        <v>1888</v>
      </c>
      <c r="AO21" s="44">
        <f t="shared" si="39"/>
        <v>3776</v>
      </c>
      <c r="AP21" s="70">
        <f>SUM(AP18:AP20)</f>
        <v>944</v>
      </c>
      <c r="AQ21" s="44">
        <f aca="true" t="shared" si="40" ref="AQ21:AX21">SUM(AQ17+AQ18+AQ20)</f>
        <v>0</v>
      </c>
      <c r="AR21" s="44">
        <f t="shared" si="40"/>
        <v>4720</v>
      </c>
      <c r="AS21" s="44">
        <f t="shared" si="40"/>
        <v>2624</v>
      </c>
      <c r="AT21" s="44">
        <f t="shared" si="40"/>
        <v>0</v>
      </c>
      <c r="AU21" s="44">
        <f t="shared" si="40"/>
        <v>0</v>
      </c>
      <c r="AV21" s="44">
        <f t="shared" si="40"/>
        <v>0</v>
      </c>
      <c r="AW21" s="44"/>
      <c r="AX21" s="44">
        <f t="shared" si="40"/>
        <v>5</v>
      </c>
      <c r="AY21" s="44"/>
      <c r="AZ21" s="44">
        <f>SUM(AZ17+AZ18+AZ20)</f>
        <v>8000</v>
      </c>
      <c r="BA21" s="70">
        <f>SUM(BA17+BA18+BA20)</f>
        <v>3200</v>
      </c>
      <c r="BB21" s="70">
        <f>SUM(BB17+BB18+BB20)</f>
        <v>11200</v>
      </c>
      <c r="BC21" s="70">
        <f>SUM(BC17+BC18+BC20)</f>
        <v>8000</v>
      </c>
      <c r="BD21" s="44">
        <f>SUM(BD17+BD18+BD20)</f>
        <v>4.5</v>
      </c>
      <c r="BE21" s="44"/>
      <c r="BF21" s="44">
        <f>SUM(BF17+BF18+BF20)</f>
        <v>8496</v>
      </c>
      <c r="BG21" s="44">
        <f>SUM(BG17+BG18+BG20)</f>
        <v>1189.44</v>
      </c>
      <c r="BH21" s="70">
        <f>SUM(BH18:BH20)</f>
        <v>0</v>
      </c>
      <c r="BI21" s="70">
        <f>SUM(BI17+BI18+BI20)</f>
        <v>9685.44</v>
      </c>
      <c r="BJ21" s="70">
        <f>SUM(BJ17+BJ18+BJ20)</f>
        <v>5904</v>
      </c>
      <c r="BK21" s="44">
        <f>SUM(BK17+BK18+BK20)</f>
        <v>2</v>
      </c>
      <c r="BL21" s="44"/>
      <c r="BM21" s="44">
        <f>SUM(BM17+BM18+BM20)</f>
        <v>3488</v>
      </c>
      <c r="BN21" s="70">
        <f>SUM(BN17+BN18+BN20)</f>
        <v>348.8</v>
      </c>
      <c r="BO21" s="44">
        <f>SUM(BO17:BO20)</f>
        <v>0</v>
      </c>
      <c r="BP21" s="70">
        <f>SUM(BP17+BP18+BP20)</f>
        <v>3836.8</v>
      </c>
      <c r="BQ21" s="70">
        <f>SUM(BQ17+BQ18+BQ20)</f>
        <v>2912</v>
      </c>
      <c r="BR21" s="44">
        <f>SUM(BR17+BR18+BR20)</f>
        <v>1</v>
      </c>
      <c r="BS21" s="74">
        <f>SUM(BS18:BS20)</f>
        <v>1744</v>
      </c>
      <c r="BT21" s="70">
        <f>SUM(BT18:BT20)</f>
        <v>0</v>
      </c>
      <c r="BU21" s="70">
        <f>SUM(BU17+BU18+BU20)</f>
        <v>1744</v>
      </c>
      <c r="BV21" s="70">
        <f>SUM(BV17+BV18+BV20)</f>
        <v>1456</v>
      </c>
      <c r="BW21" s="44">
        <f>SUM(BW17+BW18+BW20)</f>
        <v>1</v>
      </c>
      <c r="BX21" s="44">
        <f>SUM(BX17+BX18+BX20)</f>
        <v>1936</v>
      </c>
      <c r="BY21" s="44"/>
      <c r="BZ21" s="44">
        <f>SUM(BZ17+BZ18+BZ20)</f>
        <v>1936</v>
      </c>
      <c r="CA21" s="44">
        <f>SUM(CA17+CA18+CA20)</f>
        <v>1264</v>
      </c>
      <c r="CB21" s="44">
        <f>SUM(CB17+CB18+CB20)</f>
        <v>20.5</v>
      </c>
      <c r="CC21" s="44"/>
      <c r="CD21" s="44">
        <f aca="true" t="shared" si="41" ref="CD21:CW21">SUM(CD17+CD18+CD20)</f>
        <v>35752</v>
      </c>
      <c r="CE21" s="44">
        <f t="shared" si="41"/>
        <v>3575.2000000000003</v>
      </c>
      <c r="CF21" s="70">
        <f t="shared" si="41"/>
        <v>39327.2</v>
      </c>
      <c r="CG21" s="70">
        <f t="shared" si="41"/>
        <v>29848</v>
      </c>
      <c r="CH21" s="44">
        <f t="shared" si="41"/>
        <v>0</v>
      </c>
      <c r="CI21" s="44">
        <f t="shared" si="41"/>
        <v>0</v>
      </c>
      <c r="CJ21" s="44">
        <f t="shared" si="41"/>
        <v>0</v>
      </c>
      <c r="CK21" s="44">
        <f t="shared" si="41"/>
        <v>0</v>
      </c>
      <c r="CL21" s="44">
        <f t="shared" si="41"/>
        <v>0</v>
      </c>
      <c r="CM21" s="44"/>
      <c r="CN21" s="44">
        <f t="shared" si="41"/>
        <v>0</v>
      </c>
      <c r="CO21" s="44">
        <f t="shared" si="41"/>
        <v>0</v>
      </c>
      <c r="CP21" s="44">
        <f t="shared" si="41"/>
        <v>0</v>
      </c>
      <c r="CQ21" s="44">
        <f t="shared" si="41"/>
        <v>0</v>
      </c>
      <c r="CR21" s="44">
        <f t="shared" si="41"/>
        <v>0</v>
      </c>
      <c r="CS21" s="44"/>
      <c r="CT21" s="44">
        <f t="shared" si="41"/>
        <v>1</v>
      </c>
      <c r="CU21" s="44">
        <f t="shared" si="41"/>
        <v>2464</v>
      </c>
      <c r="CV21" s="44">
        <f t="shared" si="41"/>
        <v>736</v>
      </c>
      <c r="CW21" s="44">
        <f t="shared" si="41"/>
        <v>61</v>
      </c>
      <c r="CX21" s="70">
        <f>CX17+CX18+CX20</f>
        <v>204457.44</v>
      </c>
      <c r="CY21" s="61">
        <f>SUM(CY17+CY18+CY20)</f>
        <v>0</v>
      </c>
      <c r="CZ21" s="58"/>
      <c r="DA21" s="58"/>
      <c r="DB21" s="58"/>
      <c r="DC21" s="59"/>
      <c r="DD21" s="59"/>
      <c r="DE21" s="59"/>
      <c r="DF21" s="59"/>
      <c r="DG21" s="59"/>
      <c r="DH21" s="59"/>
      <c r="DI21" s="59"/>
      <c r="DJ21" s="59"/>
      <c r="DK21" s="12"/>
      <c r="DL21" s="12"/>
      <c r="DM21" s="12"/>
      <c r="DN21" s="12"/>
      <c r="DO21" s="12"/>
      <c r="DP21" s="12"/>
      <c r="DQ21" s="12"/>
    </row>
    <row r="22" spans="1:114" s="12" customFormat="1" ht="45" customHeight="1">
      <c r="A22" s="45" t="s">
        <v>34</v>
      </c>
      <c r="B22" s="42">
        <v>2</v>
      </c>
      <c r="C22" s="42">
        <v>3</v>
      </c>
      <c r="D22" s="42">
        <v>28</v>
      </c>
      <c r="E22" s="42"/>
      <c r="F22" s="42"/>
      <c r="G22" s="42">
        <f aca="true" t="shared" si="42" ref="G22:G35">SUM(E22*F22)</f>
        <v>0</v>
      </c>
      <c r="H22" s="42"/>
      <c r="I22" s="42"/>
      <c r="J22" s="42"/>
      <c r="K22" s="42">
        <f t="shared" si="15"/>
        <v>0</v>
      </c>
      <c r="L22" s="42"/>
      <c r="M22" s="42"/>
      <c r="N22" s="42"/>
      <c r="O22" s="42">
        <f t="shared" si="16"/>
        <v>0</v>
      </c>
      <c r="P22" s="42"/>
      <c r="Q22" s="42">
        <v>0.5</v>
      </c>
      <c r="R22" s="42">
        <v>1744</v>
      </c>
      <c r="S22" s="42">
        <f aca="true" t="shared" si="43" ref="S22:S36">SUM(Q22*R22)</f>
        <v>872</v>
      </c>
      <c r="T22" s="46">
        <f>3200*Q22-S22</f>
        <v>728</v>
      </c>
      <c r="U22" s="42">
        <v>0.5</v>
      </c>
      <c r="V22" s="42">
        <v>1600</v>
      </c>
      <c r="W22" s="42">
        <f>SUM(U22*V22)</f>
        <v>800</v>
      </c>
      <c r="X22" s="46">
        <f>3200*U22-W22</f>
        <v>800</v>
      </c>
      <c r="Y22" s="42">
        <v>1</v>
      </c>
      <c r="Z22" s="42">
        <v>1888</v>
      </c>
      <c r="AA22" s="46">
        <f aca="true" t="shared" si="44" ref="AA22:AA36">SUM(Y22*Z22)</f>
        <v>1888</v>
      </c>
      <c r="AB22" s="46">
        <f aca="true" t="shared" si="45" ref="AB22:AB36">3200*Y22-AA22</f>
        <v>1312</v>
      </c>
      <c r="AC22" s="42">
        <v>2</v>
      </c>
      <c r="AD22" s="42">
        <v>1744</v>
      </c>
      <c r="AE22" s="42">
        <f aca="true" t="shared" si="46" ref="AE22:AE36">AC22*AD22</f>
        <v>3488</v>
      </c>
      <c r="AF22" s="42"/>
      <c r="AG22" s="46">
        <f t="shared" si="19"/>
        <v>3488</v>
      </c>
      <c r="AH22" s="46">
        <f aca="true" t="shared" si="47" ref="AH22:AH36">3200*AC22-AG22</f>
        <v>2912</v>
      </c>
      <c r="AI22" s="42"/>
      <c r="AJ22" s="42"/>
      <c r="AK22" s="42"/>
      <c r="AL22" s="42"/>
      <c r="AM22" s="42"/>
      <c r="AN22" s="42"/>
      <c r="AO22" s="42">
        <f t="shared" si="20"/>
        <v>0</v>
      </c>
      <c r="AP22" s="42"/>
      <c r="AQ22" s="42"/>
      <c r="AR22" s="42">
        <f aca="true" t="shared" si="48" ref="AR22:AR36">SUM(AO22+AQ22)</f>
        <v>0</v>
      </c>
      <c r="AS22" s="42"/>
      <c r="AT22" s="42">
        <v>0.5</v>
      </c>
      <c r="AU22" s="42">
        <v>1600</v>
      </c>
      <c r="AV22" s="42">
        <f>SUM(AT22*AU22)</f>
        <v>800</v>
      </c>
      <c r="AW22" s="42">
        <f>3200*AT22-AV22</f>
        <v>800</v>
      </c>
      <c r="AX22" s="42">
        <v>1</v>
      </c>
      <c r="AY22" s="42">
        <v>1600</v>
      </c>
      <c r="AZ22" s="42">
        <f t="shared" si="21"/>
        <v>1600</v>
      </c>
      <c r="BA22" s="46">
        <f t="shared" si="0"/>
        <v>640</v>
      </c>
      <c r="BB22" s="46">
        <f t="shared" si="1"/>
        <v>2240</v>
      </c>
      <c r="BC22" s="46">
        <f t="shared" si="22"/>
        <v>1600</v>
      </c>
      <c r="BD22" s="42">
        <v>1</v>
      </c>
      <c r="BE22" s="42">
        <v>1888</v>
      </c>
      <c r="BF22" s="42">
        <f t="shared" si="2"/>
        <v>1888</v>
      </c>
      <c r="BG22" s="46">
        <f>SUM(BF22*14%)</f>
        <v>264.32000000000005</v>
      </c>
      <c r="BH22" s="42"/>
      <c r="BI22" s="46">
        <f aca="true" t="shared" si="49" ref="BI22:BI36">SUM(BF22+BG22)</f>
        <v>2152.32</v>
      </c>
      <c r="BJ22" s="46">
        <f aca="true" t="shared" si="50" ref="BJ22:BJ36">3200*BD22-BF22</f>
        <v>1312</v>
      </c>
      <c r="BK22" s="42"/>
      <c r="BL22" s="42"/>
      <c r="BM22" s="42">
        <f t="shared" si="3"/>
        <v>0</v>
      </c>
      <c r="BN22" s="42">
        <f t="shared" si="4"/>
        <v>0</v>
      </c>
      <c r="BO22" s="42"/>
      <c r="BP22" s="42">
        <f t="shared" si="5"/>
        <v>0</v>
      </c>
      <c r="BQ22" s="42"/>
      <c r="BR22" s="42"/>
      <c r="BS22" s="42"/>
      <c r="BT22" s="42"/>
      <c r="BU22" s="42">
        <f t="shared" si="6"/>
        <v>0</v>
      </c>
      <c r="BV22" s="42"/>
      <c r="BW22" s="42"/>
      <c r="BX22" s="42"/>
      <c r="BY22" s="42"/>
      <c r="BZ22" s="42">
        <f t="shared" si="25"/>
        <v>0</v>
      </c>
      <c r="CA22" s="42"/>
      <c r="CB22" s="42">
        <v>2</v>
      </c>
      <c r="CC22" s="42">
        <v>1744</v>
      </c>
      <c r="CD22" s="42">
        <f t="shared" si="26"/>
        <v>3488</v>
      </c>
      <c r="CE22" s="46">
        <f t="shared" si="36"/>
        <v>348.8</v>
      </c>
      <c r="CF22" s="46">
        <f t="shared" si="27"/>
        <v>3836.8</v>
      </c>
      <c r="CG22" s="42">
        <f aca="true" t="shared" si="51" ref="CG22:CG36">3200*CB22-CD22</f>
        <v>2912</v>
      </c>
      <c r="CH22" s="42"/>
      <c r="CI22" s="42"/>
      <c r="CJ22" s="42">
        <f t="shared" si="28"/>
        <v>0</v>
      </c>
      <c r="CK22" s="42">
        <f t="shared" si="29"/>
        <v>0</v>
      </c>
      <c r="CL22" s="42">
        <f t="shared" si="30"/>
        <v>0</v>
      </c>
      <c r="CM22" s="42"/>
      <c r="CN22" s="42"/>
      <c r="CO22" s="42"/>
      <c r="CP22" s="42">
        <f t="shared" si="31"/>
        <v>0</v>
      </c>
      <c r="CQ22" s="42">
        <f t="shared" si="32"/>
        <v>0</v>
      </c>
      <c r="CR22" s="42">
        <f t="shared" si="33"/>
        <v>0</v>
      </c>
      <c r="CS22" s="42"/>
      <c r="CT22" s="42"/>
      <c r="CU22" s="42"/>
      <c r="CV22" s="42"/>
      <c r="CW22" s="42">
        <f>E22+I22+M22+Q22+U22+Y22+AC22+AM22+AT22+AX22+BD22+BK22+BR22+BW22+CB22+CH22+CN22</f>
        <v>8.5</v>
      </c>
      <c r="CX22" s="46">
        <f aca="true" t="shared" si="52" ref="CX22:CX36">G22+H22+K22+L22+O22+P22+S22+T22+W22+X22+AA22+AB22+AG22+AH22+AK22+AL22+AR22+AS22+AV22+AW22+BB22+BC22+BI22+BJ22+BP22+BQ22+BU22+BV22+BZ22+CA22+CF22+CG22+CL22+CM22+CR22+CS22+CU22+CV22</f>
        <v>28453.12</v>
      </c>
      <c r="CY22" s="58"/>
      <c r="CZ22" s="58"/>
      <c r="DA22" s="58"/>
      <c r="DB22" s="58"/>
      <c r="DC22" s="59"/>
      <c r="DD22" s="59"/>
      <c r="DE22" s="59"/>
      <c r="DF22" s="59"/>
      <c r="DG22" s="59"/>
      <c r="DH22" s="59"/>
      <c r="DI22" s="59"/>
      <c r="DJ22" s="59"/>
    </row>
    <row r="23" spans="1:114" s="12" customFormat="1" ht="45" customHeight="1">
      <c r="A23" s="45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6"/>
      <c r="AB23" s="46">
        <f t="shared" si="45"/>
        <v>0</v>
      </c>
      <c r="AC23" s="42"/>
      <c r="AD23" s="42"/>
      <c r="AE23" s="42"/>
      <c r="AF23" s="42"/>
      <c r="AG23" s="46"/>
      <c r="AH23" s="46">
        <f t="shared" si="47"/>
        <v>0</v>
      </c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>
        <f aca="true" t="shared" si="53" ref="AW23:AW36">3200*AT23-AV23</f>
        <v>0</v>
      </c>
      <c r="AX23" s="42"/>
      <c r="AY23" s="42"/>
      <c r="AZ23" s="42"/>
      <c r="BA23" s="46"/>
      <c r="BB23" s="46"/>
      <c r="BC23" s="46">
        <f t="shared" si="22"/>
        <v>0</v>
      </c>
      <c r="BD23" s="42"/>
      <c r="BE23" s="42"/>
      <c r="BF23" s="42"/>
      <c r="BG23" s="46"/>
      <c r="BH23" s="42"/>
      <c r="BI23" s="46"/>
      <c r="BJ23" s="46">
        <f t="shared" si="50"/>
        <v>0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6"/>
      <c r="CF23" s="46"/>
      <c r="CG23" s="42">
        <f t="shared" si="51"/>
        <v>0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6">
        <f t="shared" si="52"/>
        <v>0</v>
      </c>
      <c r="CY23" s="58"/>
      <c r="CZ23" s="58"/>
      <c r="DA23" s="58"/>
      <c r="DB23" s="58"/>
      <c r="DC23" s="59"/>
      <c r="DD23" s="59"/>
      <c r="DE23" s="59"/>
      <c r="DF23" s="59"/>
      <c r="DG23" s="59"/>
      <c r="DH23" s="59"/>
      <c r="DI23" s="59"/>
      <c r="DJ23" s="59"/>
    </row>
    <row r="24" spans="1:114" s="12" customFormat="1" ht="45" customHeight="1">
      <c r="A24" s="45" t="s">
        <v>35</v>
      </c>
      <c r="B24" s="42">
        <v>11</v>
      </c>
      <c r="C24" s="42">
        <v>11</v>
      </c>
      <c r="D24" s="42">
        <v>100</v>
      </c>
      <c r="E24" s="42">
        <v>1</v>
      </c>
      <c r="F24" s="42">
        <v>2624</v>
      </c>
      <c r="G24" s="42">
        <f t="shared" si="42"/>
        <v>2624</v>
      </c>
      <c r="H24" s="46">
        <f aca="true" t="shared" si="54" ref="H24:H33">3200*E24-G24</f>
        <v>576</v>
      </c>
      <c r="I24" s="42">
        <v>0.5</v>
      </c>
      <c r="J24" s="42">
        <v>2176</v>
      </c>
      <c r="K24" s="42">
        <f t="shared" si="15"/>
        <v>1088</v>
      </c>
      <c r="L24" s="42">
        <f>3200*I24-K24</f>
        <v>512</v>
      </c>
      <c r="M24" s="42"/>
      <c r="N24" s="42"/>
      <c r="O24" s="42">
        <f t="shared" si="16"/>
        <v>0</v>
      </c>
      <c r="P24" s="42"/>
      <c r="Q24" s="42">
        <v>1</v>
      </c>
      <c r="R24" s="42">
        <v>1744</v>
      </c>
      <c r="S24" s="46">
        <f t="shared" si="43"/>
        <v>1744</v>
      </c>
      <c r="T24" s="46">
        <f aca="true" t="shared" si="55" ref="T24:T33">3200*Q24-S24</f>
        <v>1456</v>
      </c>
      <c r="U24" s="42"/>
      <c r="V24" s="42"/>
      <c r="W24" s="46">
        <f aca="true" t="shared" si="56" ref="W24:W33">SUM(U24*V24)</f>
        <v>0</v>
      </c>
      <c r="X24" s="46"/>
      <c r="Y24" s="42">
        <v>1</v>
      </c>
      <c r="Z24" s="42">
        <v>1888</v>
      </c>
      <c r="AA24" s="46">
        <f t="shared" si="44"/>
        <v>1888</v>
      </c>
      <c r="AB24" s="46">
        <f t="shared" si="45"/>
        <v>1312</v>
      </c>
      <c r="AC24" s="42">
        <v>2</v>
      </c>
      <c r="AD24" s="42">
        <v>1744</v>
      </c>
      <c r="AE24" s="42">
        <f t="shared" si="46"/>
        <v>3488</v>
      </c>
      <c r="AF24" s="42"/>
      <c r="AG24" s="46">
        <f t="shared" si="19"/>
        <v>3488</v>
      </c>
      <c r="AH24" s="46">
        <f t="shared" si="47"/>
        <v>2912</v>
      </c>
      <c r="AI24" s="42"/>
      <c r="AJ24" s="42"/>
      <c r="AK24" s="42"/>
      <c r="AL24" s="42"/>
      <c r="AM24" s="42"/>
      <c r="AN24" s="42"/>
      <c r="AO24" s="42">
        <f t="shared" si="20"/>
        <v>0</v>
      </c>
      <c r="AP24" s="42"/>
      <c r="AQ24" s="42"/>
      <c r="AR24" s="42">
        <f t="shared" si="48"/>
        <v>0</v>
      </c>
      <c r="AS24" s="42"/>
      <c r="AT24" s="42"/>
      <c r="AU24" s="42"/>
      <c r="AV24" s="42">
        <f aca="true" t="shared" si="57" ref="AV24:AV33">SUM(AT24*AU24)</f>
        <v>0</v>
      </c>
      <c r="AW24" s="42">
        <f t="shared" si="53"/>
        <v>0</v>
      </c>
      <c r="AX24" s="42">
        <v>2</v>
      </c>
      <c r="AY24" s="42">
        <v>1600</v>
      </c>
      <c r="AZ24" s="42">
        <f t="shared" si="21"/>
        <v>3200</v>
      </c>
      <c r="BA24" s="46">
        <f t="shared" si="0"/>
        <v>1280</v>
      </c>
      <c r="BB24" s="46">
        <f t="shared" si="1"/>
        <v>4480</v>
      </c>
      <c r="BC24" s="46">
        <f t="shared" si="22"/>
        <v>3200</v>
      </c>
      <c r="BD24" s="42">
        <v>1.5</v>
      </c>
      <c r="BE24" s="42">
        <v>1888</v>
      </c>
      <c r="BF24" s="42">
        <f t="shared" si="2"/>
        <v>2832</v>
      </c>
      <c r="BG24" s="46">
        <f aca="true" t="shared" si="58" ref="BG24:BG32">SUM(BF24*14%)</f>
        <v>396.48</v>
      </c>
      <c r="BH24" s="42"/>
      <c r="BI24" s="46">
        <f t="shared" si="49"/>
        <v>3228.48</v>
      </c>
      <c r="BJ24" s="46">
        <f t="shared" si="50"/>
        <v>1968</v>
      </c>
      <c r="BK24" s="42"/>
      <c r="BL24" s="42"/>
      <c r="BM24" s="42">
        <f t="shared" si="3"/>
        <v>0</v>
      </c>
      <c r="BN24" s="42">
        <f t="shared" si="4"/>
        <v>0</v>
      </c>
      <c r="BO24" s="42"/>
      <c r="BP24" s="42">
        <f t="shared" si="5"/>
        <v>0</v>
      </c>
      <c r="BQ24" s="42"/>
      <c r="BR24" s="42"/>
      <c r="BS24" s="42"/>
      <c r="BT24" s="42"/>
      <c r="BU24" s="42">
        <f t="shared" si="6"/>
        <v>0</v>
      </c>
      <c r="BV24" s="42"/>
      <c r="BW24" s="42"/>
      <c r="BX24" s="42"/>
      <c r="BY24" s="42"/>
      <c r="BZ24" s="42">
        <f t="shared" si="25"/>
        <v>0</v>
      </c>
      <c r="CA24" s="42"/>
      <c r="CB24" s="42">
        <v>4</v>
      </c>
      <c r="CC24" s="42">
        <v>1744</v>
      </c>
      <c r="CD24" s="42">
        <f t="shared" si="26"/>
        <v>6976</v>
      </c>
      <c r="CE24" s="46">
        <f t="shared" si="36"/>
        <v>697.6</v>
      </c>
      <c r="CF24" s="46">
        <f t="shared" si="27"/>
        <v>7673.6</v>
      </c>
      <c r="CG24" s="42">
        <f t="shared" si="51"/>
        <v>5824</v>
      </c>
      <c r="CH24" s="42"/>
      <c r="CI24" s="42"/>
      <c r="CJ24" s="42">
        <f t="shared" si="28"/>
        <v>0</v>
      </c>
      <c r="CK24" s="42">
        <f t="shared" si="29"/>
        <v>0</v>
      </c>
      <c r="CL24" s="42">
        <f t="shared" si="30"/>
        <v>0</v>
      </c>
      <c r="CM24" s="42"/>
      <c r="CN24" s="42"/>
      <c r="CO24" s="42"/>
      <c r="CP24" s="42">
        <f t="shared" si="31"/>
        <v>0</v>
      </c>
      <c r="CQ24" s="42">
        <f t="shared" si="32"/>
        <v>0</v>
      </c>
      <c r="CR24" s="42">
        <f t="shared" si="33"/>
        <v>0</v>
      </c>
      <c r="CS24" s="42"/>
      <c r="CT24" s="42"/>
      <c r="CU24" s="42"/>
      <c r="CV24" s="42"/>
      <c r="CW24" s="42">
        <f aca="true" t="shared" si="59" ref="CW24:CW33">E24+I24+M24+Q24+U24+Y24+AC24+AM24+AT24+AX24+BD24+BK24+BR24+BW24+CB24+CH24+CN24</f>
        <v>13</v>
      </c>
      <c r="CX24" s="46">
        <f t="shared" si="52"/>
        <v>43974.08</v>
      </c>
      <c r="CY24" s="58"/>
      <c r="CZ24" s="58"/>
      <c r="DA24" s="58"/>
      <c r="DB24" s="58"/>
      <c r="DC24" s="59"/>
      <c r="DD24" s="59"/>
      <c r="DE24" s="59"/>
      <c r="DF24" s="59"/>
      <c r="DG24" s="59"/>
      <c r="DH24" s="59"/>
      <c r="DI24" s="59"/>
      <c r="DJ24" s="59"/>
    </row>
    <row r="25" spans="1:114" s="51" customFormat="1" ht="45" customHeight="1">
      <c r="A25" s="49" t="s">
        <v>24</v>
      </c>
      <c r="B25" s="50">
        <v>17</v>
      </c>
      <c r="C25" s="50">
        <v>17</v>
      </c>
      <c r="D25" s="50">
        <v>372</v>
      </c>
      <c r="E25" s="50">
        <v>1</v>
      </c>
      <c r="F25" s="42">
        <v>2624</v>
      </c>
      <c r="G25" s="77">
        <f t="shared" si="42"/>
        <v>2624</v>
      </c>
      <c r="H25" s="46">
        <f t="shared" si="54"/>
        <v>576</v>
      </c>
      <c r="I25" s="50">
        <v>1</v>
      </c>
      <c r="J25" s="42">
        <v>2176</v>
      </c>
      <c r="K25" s="50">
        <f t="shared" si="15"/>
        <v>2176</v>
      </c>
      <c r="L25" s="42">
        <f>3200*I25-K25</f>
        <v>1024</v>
      </c>
      <c r="M25" s="50">
        <v>0.5</v>
      </c>
      <c r="N25" s="42">
        <v>2032</v>
      </c>
      <c r="O25" s="77">
        <f t="shared" si="16"/>
        <v>1016</v>
      </c>
      <c r="P25" s="46">
        <f>3200*M25-O25</f>
        <v>584</v>
      </c>
      <c r="Q25" s="50">
        <v>1</v>
      </c>
      <c r="R25" s="42">
        <v>1744</v>
      </c>
      <c r="S25" s="77">
        <f t="shared" si="43"/>
        <v>1744</v>
      </c>
      <c r="T25" s="46">
        <f t="shared" si="55"/>
        <v>1456</v>
      </c>
      <c r="U25" s="50"/>
      <c r="V25" s="50"/>
      <c r="W25" s="50">
        <f t="shared" si="56"/>
        <v>0</v>
      </c>
      <c r="X25" s="50"/>
      <c r="Y25" s="50">
        <v>1</v>
      </c>
      <c r="Z25" s="42">
        <v>1888</v>
      </c>
      <c r="AA25" s="77">
        <f t="shared" si="44"/>
        <v>1888</v>
      </c>
      <c r="AB25" s="46">
        <f t="shared" si="45"/>
        <v>1312</v>
      </c>
      <c r="AC25" s="50">
        <v>3</v>
      </c>
      <c r="AD25" s="42">
        <v>1744</v>
      </c>
      <c r="AE25" s="42">
        <f t="shared" si="46"/>
        <v>5232</v>
      </c>
      <c r="AF25" s="42"/>
      <c r="AG25" s="77">
        <f t="shared" si="19"/>
        <v>5232</v>
      </c>
      <c r="AH25" s="46">
        <f t="shared" si="47"/>
        <v>4368</v>
      </c>
      <c r="AI25" s="50"/>
      <c r="AJ25" s="50"/>
      <c r="AK25" s="50"/>
      <c r="AL25" s="50"/>
      <c r="AM25" s="50">
        <v>2</v>
      </c>
      <c r="AN25" s="42">
        <v>1888</v>
      </c>
      <c r="AO25" s="50">
        <f t="shared" si="20"/>
        <v>3776</v>
      </c>
      <c r="AP25" s="77">
        <f>AO25*25%</f>
        <v>944</v>
      </c>
      <c r="AQ25" s="77"/>
      <c r="AR25" s="50">
        <f>AO25+AP25+AQ25</f>
        <v>4720</v>
      </c>
      <c r="AS25" s="50">
        <f>3200*AM25-AO25</f>
        <v>2624</v>
      </c>
      <c r="AT25" s="50"/>
      <c r="AU25" s="50"/>
      <c r="AV25" s="50">
        <f t="shared" si="57"/>
        <v>0</v>
      </c>
      <c r="AW25" s="42">
        <f t="shared" si="53"/>
        <v>0</v>
      </c>
      <c r="AX25" s="50">
        <v>1</v>
      </c>
      <c r="AY25" s="42">
        <v>1600</v>
      </c>
      <c r="AZ25" s="50">
        <f t="shared" si="21"/>
        <v>1600</v>
      </c>
      <c r="BA25" s="77">
        <f t="shared" si="0"/>
        <v>640</v>
      </c>
      <c r="BB25" s="77">
        <f t="shared" si="1"/>
        <v>2240</v>
      </c>
      <c r="BC25" s="46">
        <f t="shared" si="22"/>
        <v>1600</v>
      </c>
      <c r="BD25" s="50">
        <v>2</v>
      </c>
      <c r="BE25" s="42">
        <v>1888</v>
      </c>
      <c r="BF25" s="50">
        <f t="shared" si="2"/>
        <v>3776</v>
      </c>
      <c r="BG25" s="46">
        <f t="shared" si="58"/>
        <v>528.6400000000001</v>
      </c>
      <c r="BH25" s="50"/>
      <c r="BI25" s="77">
        <f t="shared" si="49"/>
        <v>4304.64</v>
      </c>
      <c r="BJ25" s="46">
        <f t="shared" si="50"/>
        <v>2624</v>
      </c>
      <c r="BK25" s="50">
        <v>1</v>
      </c>
      <c r="BL25" s="42">
        <v>1744</v>
      </c>
      <c r="BM25" s="50">
        <f t="shared" si="3"/>
        <v>1744</v>
      </c>
      <c r="BN25" s="77">
        <f t="shared" si="4"/>
        <v>174.4</v>
      </c>
      <c r="BO25" s="50"/>
      <c r="BP25" s="77">
        <f t="shared" si="5"/>
        <v>1918.4</v>
      </c>
      <c r="BQ25" s="42">
        <f aca="true" t="shared" si="60" ref="BQ25:BQ32">3200*BK25-BM25</f>
        <v>1456</v>
      </c>
      <c r="BR25" s="50">
        <v>1</v>
      </c>
      <c r="BS25" s="42">
        <v>1744</v>
      </c>
      <c r="BT25" s="42"/>
      <c r="BU25" s="50">
        <f t="shared" si="6"/>
        <v>1744</v>
      </c>
      <c r="BV25" s="46">
        <f>3200*BR25-BU25</f>
        <v>1456</v>
      </c>
      <c r="BW25" s="50">
        <v>1</v>
      </c>
      <c r="BX25" s="50">
        <v>1936</v>
      </c>
      <c r="BY25" s="77"/>
      <c r="BZ25" s="77">
        <f>BX25+BY25</f>
        <v>1936</v>
      </c>
      <c r="CA25" s="42">
        <f>3200*BW25-BZ25</f>
        <v>1264</v>
      </c>
      <c r="CB25" s="50">
        <v>6</v>
      </c>
      <c r="CC25" s="42">
        <v>1744</v>
      </c>
      <c r="CD25" s="50">
        <f t="shared" si="26"/>
        <v>10464</v>
      </c>
      <c r="CE25" s="46">
        <f t="shared" si="36"/>
        <v>1046.4</v>
      </c>
      <c r="CF25" s="77">
        <f t="shared" si="27"/>
        <v>11510.4</v>
      </c>
      <c r="CG25" s="42">
        <f t="shared" si="51"/>
        <v>8736</v>
      </c>
      <c r="CH25" s="50"/>
      <c r="CI25" s="50"/>
      <c r="CJ25" s="50">
        <f t="shared" si="28"/>
        <v>0</v>
      </c>
      <c r="CK25" s="50">
        <f t="shared" si="29"/>
        <v>0</v>
      </c>
      <c r="CL25" s="50">
        <f t="shared" si="30"/>
        <v>0</v>
      </c>
      <c r="CM25" s="50"/>
      <c r="CN25" s="50"/>
      <c r="CO25" s="50"/>
      <c r="CP25" s="50">
        <f t="shared" si="31"/>
        <v>0</v>
      </c>
      <c r="CQ25" s="50">
        <f t="shared" si="32"/>
        <v>0</v>
      </c>
      <c r="CR25" s="50">
        <f t="shared" si="33"/>
        <v>0</v>
      </c>
      <c r="CS25" s="50"/>
      <c r="CT25" s="50"/>
      <c r="CU25" s="50"/>
      <c r="CV25" s="50"/>
      <c r="CW25" s="42">
        <f t="shared" si="59"/>
        <v>21.5</v>
      </c>
      <c r="CX25" s="46">
        <f t="shared" si="52"/>
        <v>72133.44</v>
      </c>
      <c r="CY25" s="58"/>
      <c r="CZ25" s="58"/>
      <c r="DA25" s="58"/>
      <c r="DB25" s="58"/>
      <c r="DC25" s="59"/>
      <c r="DD25" s="59"/>
      <c r="DE25" s="59"/>
      <c r="DF25" s="59"/>
      <c r="DG25" s="59"/>
      <c r="DH25" s="59"/>
      <c r="DI25" s="59"/>
      <c r="DJ25" s="59"/>
    </row>
    <row r="26" spans="1:114" s="12" customFormat="1" ht="45" customHeight="1">
      <c r="A26" s="64" t="s">
        <v>36</v>
      </c>
      <c r="B26" s="42">
        <v>7</v>
      </c>
      <c r="C26" s="42">
        <v>7</v>
      </c>
      <c r="D26" s="42">
        <v>56</v>
      </c>
      <c r="E26" s="42">
        <v>0.5</v>
      </c>
      <c r="F26" s="42">
        <v>2624</v>
      </c>
      <c r="G26" s="46">
        <f t="shared" si="42"/>
        <v>1312</v>
      </c>
      <c r="H26" s="46">
        <f t="shared" si="54"/>
        <v>288</v>
      </c>
      <c r="I26" s="42"/>
      <c r="J26" s="42"/>
      <c r="K26" s="42">
        <f t="shared" si="15"/>
        <v>0</v>
      </c>
      <c r="L26" s="42"/>
      <c r="M26" s="42"/>
      <c r="N26" s="42"/>
      <c r="O26" s="42">
        <f t="shared" si="16"/>
        <v>0</v>
      </c>
      <c r="P26" s="42"/>
      <c r="Q26" s="42">
        <v>1</v>
      </c>
      <c r="R26" s="42">
        <v>1744</v>
      </c>
      <c r="S26" s="46">
        <f t="shared" si="43"/>
        <v>1744</v>
      </c>
      <c r="T26" s="46">
        <f t="shared" si="55"/>
        <v>1456</v>
      </c>
      <c r="U26" s="42"/>
      <c r="V26" s="42"/>
      <c r="W26" s="42">
        <f t="shared" si="56"/>
        <v>0</v>
      </c>
      <c r="X26" s="42"/>
      <c r="Y26" s="42"/>
      <c r="Z26" s="42"/>
      <c r="AA26" s="42">
        <f t="shared" si="44"/>
        <v>0</v>
      </c>
      <c r="AB26" s="46">
        <f t="shared" si="45"/>
        <v>0</v>
      </c>
      <c r="AC26" s="42">
        <v>2</v>
      </c>
      <c r="AD26" s="42">
        <v>1744</v>
      </c>
      <c r="AE26" s="42">
        <f t="shared" si="46"/>
        <v>3488</v>
      </c>
      <c r="AF26" s="42"/>
      <c r="AG26" s="46">
        <f t="shared" si="19"/>
        <v>3488</v>
      </c>
      <c r="AH26" s="46">
        <f t="shared" si="47"/>
        <v>2912</v>
      </c>
      <c r="AI26" s="42"/>
      <c r="AJ26" s="42"/>
      <c r="AK26" s="42"/>
      <c r="AL26" s="42"/>
      <c r="AM26" s="42"/>
      <c r="AN26" s="42"/>
      <c r="AO26" s="42">
        <f t="shared" si="20"/>
        <v>0</v>
      </c>
      <c r="AP26" s="46"/>
      <c r="AQ26" s="46"/>
      <c r="AR26" s="42">
        <f t="shared" si="48"/>
        <v>0</v>
      </c>
      <c r="AS26" s="42"/>
      <c r="AT26" s="42"/>
      <c r="AU26" s="42"/>
      <c r="AV26" s="42">
        <f t="shared" si="57"/>
        <v>0</v>
      </c>
      <c r="AW26" s="42">
        <f t="shared" si="53"/>
        <v>0</v>
      </c>
      <c r="AX26" s="42">
        <v>1</v>
      </c>
      <c r="AY26" s="42">
        <v>1600</v>
      </c>
      <c r="AZ26" s="42">
        <f t="shared" si="21"/>
        <v>1600</v>
      </c>
      <c r="BA26" s="46">
        <f t="shared" si="0"/>
        <v>640</v>
      </c>
      <c r="BB26" s="46">
        <f t="shared" si="1"/>
        <v>2240</v>
      </c>
      <c r="BC26" s="46">
        <f t="shared" si="22"/>
        <v>1600</v>
      </c>
      <c r="BD26" s="42">
        <v>2</v>
      </c>
      <c r="BE26" s="42">
        <v>1888</v>
      </c>
      <c r="BF26" s="42">
        <f t="shared" si="2"/>
        <v>3776</v>
      </c>
      <c r="BG26" s="46">
        <f t="shared" si="58"/>
        <v>528.6400000000001</v>
      </c>
      <c r="BH26" s="42"/>
      <c r="BI26" s="46">
        <f t="shared" si="49"/>
        <v>4304.64</v>
      </c>
      <c r="BJ26" s="46">
        <f t="shared" si="50"/>
        <v>2624</v>
      </c>
      <c r="BK26" s="42">
        <v>1</v>
      </c>
      <c r="BL26" s="42">
        <v>1744</v>
      </c>
      <c r="BM26" s="42">
        <f t="shared" si="3"/>
        <v>1744</v>
      </c>
      <c r="BN26" s="46">
        <f t="shared" si="4"/>
        <v>174.4</v>
      </c>
      <c r="BO26" s="42"/>
      <c r="BP26" s="46">
        <f t="shared" si="5"/>
        <v>1918.4</v>
      </c>
      <c r="BQ26" s="42">
        <f t="shared" si="60"/>
        <v>1456</v>
      </c>
      <c r="BR26" s="42"/>
      <c r="BS26" s="42"/>
      <c r="BT26" s="42"/>
      <c r="BU26" s="42">
        <f t="shared" si="6"/>
        <v>0</v>
      </c>
      <c r="BV26" s="42"/>
      <c r="BW26" s="42"/>
      <c r="BX26" s="42"/>
      <c r="BY26" s="42"/>
      <c r="BZ26" s="42">
        <f t="shared" si="25"/>
        <v>0</v>
      </c>
      <c r="CA26" s="42"/>
      <c r="CB26" s="42">
        <v>2.75</v>
      </c>
      <c r="CC26" s="42">
        <v>1744</v>
      </c>
      <c r="CD26" s="42">
        <f t="shared" si="26"/>
        <v>4796</v>
      </c>
      <c r="CE26" s="46">
        <f t="shared" si="36"/>
        <v>479.6</v>
      </c>
      <c r="CF26" s="46">
        <f t="shared" si="27"/>
        <v>5275.6</v>
      </c>
      <c r="CG26" s="42">
        <f t="shared" si="51"/>
        <v>4004</v>
      </c>
      <c r="CH26" s="42">
        <v>0.25</v>
      </c>
      <c r="CI26" s="42">
        <v>1744</v>
      </c>
      <c r="CJ26" s="42">
        <f t="shared" si="28"/>
        <v>436</v>
      </c>
      <c r="CK26" s="42">
        <f t="shared" si="29"/>
        <v>52.32</v>
      </c>
      <c r="CL26" s="42">
        <f t="shared" si="30"/>
        <v>488.32</v>
      </c>
      <c r="CM26" s="42">
        <f>3200*CH26-CJ26</f>
        <v>364</v>
      </c>
      <c r="CN26" s="42">
        <v>1</v>
      </c>
      <c r="CO26" s="42">
        <v>2320</v>
      </c>
      <c r="CP26" s="42">
        <f t="shared" si="31"/>
        <v>2320</v>
      </c>
      <c r="CQ26" s="42">
        <f t="shared" si="32"/>
        <v>232</v>
      </c>
      <c r="CR26" s="46">
        <f t="shared" si="33"/>
        <v>2552</v>
      </c>
      <c r="CS26" s="46">
        <f>3200*CN26-CP26</f>
        <v>880</v>
      </c>
      <c r="CT26" s="46"/>
      <c r="CU26" s="46"/>
      <c r="CV26" s="46"/>
      <c r="CW26" s="42">
        <f t="shared" si="59"/>
        <v>11.5</v>
      </c>
      <c r="CX26" s="46">
        <f t="shared" si="52"/>
        <v>38906.96</v>
      </c>
      <c r="CY26" s="58"/>
      <c r="CZ26" s="58"/>
      <c r="DA26" s="58"/>
      <c r="DB26" s="58"/>
      <c r="DC26" s="59"/>
      <c r="DD26" s="59"/>
      <c r="DE26" s="59"/>
      <c r="DF26" s="59"/>
      <c r="DG26" s="59"/>
      <c r="DH26" s="59"/>
      <c r="DI26" s="59"/>
      <c r="DJ26" s="59"/>
    </row>
    <row r="27" spans="1:114" s="12" customFormat="1" ht="45" customHeight="1">
      <c r="A27" s="45" t="s">
        <v>37</v>
      </c>
      <c r="B27" s="42">
        <v>10</v>
      </c>
      <c r="C27" s="42">
        <v>10</v>
      </c>
      <c r="D27" s="42">
        <v>113</v>
      </c>
      <c r="E27" s="42">
        <v>1</v>
      </c>
      <c r="F27" s="42">
        <v>2624</v>
      </c>
      <c r="G27" s="46">
        <f t="shared" si="42"/>
        <v>2624</v>
      </c>
      <c r="H27" s="46">
        <f t="shared" si="54"/>
        <v>576</v>
      </c>
      <c r="I27" s="42"/>
      <c r="J27" s="42"/>
      <c r="K27" s="42">
        <f t="shared" si="15"/>
        <v>0</v>
      </c>
      <c r="L27" s="42"/>
      <c r="M27" s="42"/>
      <c r="N27" s="42"/>
      <c r="O27" s="46">
        <f t="shared" si="16"/>
        <v>0</v>
      </c>
      <c r="P27" s="46"/>
      <c r="Q27" s="42">
        <v>1</v>
      </c>
      <c r="R27" s="42">
        <v>1744</v>
      </c>
      <c r="S27" s="46">
        <f t="shared" si="43"/>
        <v>1744</v>
      </c>
      <c r="T27" s="46">
        <f t="shared" si="55"/>
        <v>1456</v>
      </c>
      <c r="U27" s="42"/>
      <c r="V27" s="42"/>
      <c r="W27" s="42">
        <f t="shared" si="56"/>
        <v>0</v>
      </c>
      <c r="X27" s="42"/>
      <c r="Y27" s="42">
        <v>1</v>
      </c>
      <c r="Z27" s="42">
        <v>1888</v>
      </c>
      <c r="AA27" s="46">
        <f t="shared" si="44"/>
        <v>1888</v>
      </c>
      <c r="AB27" s="46">
        <f t="shared" si="45"/>
        <v>1312</v>
      </c>
      <c r="AC27" s="42">
        <v>2</v>
      </c>
      <c r="AD27" s="42">
        <v>1744</v>
      </c>
      <c r="AE27" s="42">
        <f t="shared" si="46"/>
        <v>3488</v>
      </c>
      <c r="AF27" s="42"/>
      <c r="AG27" s="46">
        <f t="shared" si="19"/>
        <v>3488</v>
      </c>
      <c r="AH27" s="46">
        <f t="shared" si="47"/>
        <v>2912</v>
      </c>
      <c r="AI27" s="42"/>
      <c r="AJ27" s="42"/>
      <c r="AK27" s="42"/>
      <c r="AL27" s="42"/>
      <c r="AM27" s="42"/>
      <c r="AN27" s="42"/>
      <c r="AO27" s="42">
        <f t="shared" si="20"/>
        <v>0</v>
      </c>
      <c r="AP27" s="46"/>
      <c r="AQ27" s="46"/>
      <c r="AR27" s="42">
        <f t="shared" si="48"/>
        <v>0</v>
      </c>
      <c r="AS27" s="42"/>
      <c r="AT27" s="42">
        <v>0.5</v>
      </c>
      <c r="AU27" s="42">
        <v>1600</v>
      </c>
      <c r="AV27" s="42">
        <f t="shared" si="57"/>
        <v>800</v>
      </c>
      <c r="AW27" s="42">
        <f t="shared" si="53"/>
        <v>800</v>
      </c>
      <c r="AX27" s="42">
        <v>1</v>
      </c>
      <c r="AY27" s="42">
        <v>1600</v>
      </c>
      <c r="AZ27" s="42">
        <f t="shared" si="21"/>
        <v>1600</v>
      </c>
      <c r="BA27" s="46">
        <f t="shared" si="0"/>
        <v>640</v>
      </c>
      <c r="BB27" s="46">
        <f t="shared" si="1"/>
        <v>2240</v>
      </c>
      <c r="BC27" s="46">
        <f t="shared" si="22"/>
        <v>1600</v>
      </c>
      <c r="BD27" s="42">
        <v>1</v>
      </c>
      <c r="BE27" s="42">
        <v>1888</v>
      </c>
      <c r="BF27" s="42">
        <f t="shared" si="2"/>
        <v>1888</v>
      </c>
      <c r="BG27" s="46">
        <f t="shared" si="58"/>
        <v>264.32000000000005</v>
      </c>
      <c r="BH27" s="42"/>
      <c r="BI27" s="46">
        <f t="shared" si="49"/>
        <v>2152.32</v>
      </c>
      <c r="BJ27" s="46">
        <f t="shared" si="50"/>
        <v>1312</v>
      </c>
      <c r="BK27" s="42">
        <v>0.5</v>
      </c>
      <c r="BL27" s="42">
        <v>1744</v>
      </c>
      <c r="BM27" s="46">
        <f t="shared" si="3"/>
        <v>872</v>
      </c>
      <c r="BN27" s="42">
        <f t="shared" si="4"/>
        <v>87.2</v>
      </c>
      <c r="BO27" s="42"/>
      <c r="BP27" s="42">
        <f t="shared" si="5"/>
        <v>959.2</v>
      </c>
      <c r="BQ27" s="42">
        <f t="shared" si="60"/>
        <v>728</v>
      </c>
      <c r="BR27" s="42"/>
      <c r="BS27" s="42"/>
      <c r="BT27" s="42"/>
      <c r="BU27" s="42">
        <f t="shared" si="6"/>
        <v>0</v>
      </c>
      <c r="BV27" s="42"/>
      <c r="BW27" s="42"/>
      <c r="BX27" s="42"/>
      <c r="BY27" s="42"/>
      <c r="BZ27" s="42">
        <f t="shared" si="25"/>
        <v>0</v>
      </c>
      <c r="CA27" s="42"/>
      <c r="CB27" s="42">
        <v>1.5</v>
      </c>
      <c r="CC27" s="42">
        <v>1744</v>
      </c>
      <c r="CD27" s="42">
        <f t="shared" si="26"/>
        <v>2616</v>
      </c>
      <c r="CE27" s="46">
        <f t="shared" si="36"/>
        <v>261.6</v>
      </c>
      <c r="CF27" s="42">
        <f t="shared" si="27"/>
        <v>2877.6</v>
      </c>
      <c r="CG27" s="42">
        <f t="shared" si="51"/>
        <v>2184</v>
      </c>
      <c r="CH27" s="42"/>
      <c r="CI27" s="42"/>
      <c r="CJ27" s="42">
        <f t="shared" si="28"/>
        <v>0</v>
      </c>
      <c r="CK27" s="42">
        <f t="shared" si="29"/>
        <v>0</v>
      </c>
      <c r="CL27" s="42">
        <f t="shared" si="30"/>
        <v>0</v>
      </c>
      <c r="CM27" s="42"/>
      <c r="CN27" s="42"/>
      <c r="CO27" s="42"/>
      <c r="CP27" s="42">
        <f t="shared" si="31"/>
        <v>0</v>
      </c>
      <c r="CQ27" s="42">
        <f t="shared" si="32"/>
        <v>0</v>
      </c>
      <c r="CR27" s="42">
        <f t="shared" si="33"/>
        <v>0</v>
      </c>
      <c r="CS27" s="42"/>
      <c r="CT27" s="42"/>
      <c r="CU27" s="42"/>
      <c r="CV27" s="42"/>
      <c r="CW27" s="42">
        <f t="shared" si="59"/>
        <v>9.5</v>
      </c>
      <c r="CX27" s="46">
        <f t="shared" si="52"/>
        <v>31653.12</v>
      </c>
      <c r="CY27" s="58"/>
      <c r="CZ27" s="58"/>
      <c r="DA27" s="58"/>
      <c r="DB27" s="58"/>
      <c r="DC27" s="59"/>
      <c r="DD27" s="59"/>
      <c r="DE27" s="59"/>
      <c r="DF27" s="59"/>
      <c r="DG27" s="59"/>
      <c r="DH27" s="59"/>
      <c r="DI27" s="59"/>
      <c r="DJ27" s="59"/>
    </row>
    <row r="28" spans="1:114" s="12" customFormat="1" ht="45" customHeight="1">
      <c r="A28" s="45" t="s">
        <v>38</v>
      </c>
      <c r="B28" s="42">
        <v>10</v>
      </c>
      <c r="C28" s="42">
        <v>10</v>
      </c>
      <c r="D28" s="42">
        <v>163</v>
      </c>
      <c r="E28" s="42">
        <v>1</v>
      </c>
      <c r="F28" s="42">
        <v>2624</v>
      </c>
      <c r="G28" s="46">
        <f t="shared" si="42"/>
        <v>2624</v>
      </c>
      <c r="H28" s="46">
        <f t="shared" si="54"/>
        <v>576</v>
      </c>
      <c r="I28" s="42">
        <v>0.5</v>
      </c>
      <c r="J28" s="42">
        <v>2176</v>
      </c>
      <c r="K28" s="42">
        <f t="shared" si="15"/>
        <v>1088</v>
      </c>
      <c r="L28" s="42">
        <f>3200*I28-K28</f>
        <v>512</v>
      </c>
      <c r="M28" s="42">
        <v>0.5</v>
      </c>
      <c r="N28" s="42">
        <v>2032</v>
      </c>
      <c r="O28" s="46">
        <f t="shared" si="16"/>
        <v>1016</v>
      </c>
      <c r="P28" s="46">
        <f>3200*M28-O28</f>
        <v>584</v>
      </c>
      <c r="Q28" s="42">
        <v>1</v>
      </c>
      <c r="R28" s="42">
        <v>1744</v>
      </c>
      <c r="S28" s="46">
        <f t="shared" si="43"/>
        <v>1744</v>
      </c>
      <c r="T28" s="46">
        <f t="shared" si="55"/>
        <v>1456</v>
      </c>
      <c r="U28" s="42">
        <v>1</v>
      </c>
      <c r="V28" s="42">
        <v>1600</v>
      </c>
      <c r="W28" s="42">
        <f t="shared" si="56"/>
        <v>1600</v>
      </c>
      <c r="X28" s="46">
        <f>3200*U28-W28</f>
        <v>1600</v>
      </c>
      <c r="Y28" s="42">
        <v>1</v>
      </c>
      <c r="Z28" s="42">
        <v>1888</v>
      </c>
      <c r="AA28" s="46">
        <f t="shared" si="44"/>
        <v>1888</v>
      </c>
      <c r="AB28" s="46">
        <f t="shared" si="45"/>
        <v>1312</v>
      </c>
      <c r="AC28" s="42">
        <v>2</v>
      </c>
      <c r="AD28" s="42">
        <v>1744</v>
      </c>
      <c r="AE28" s="42">
        <f t="shared" si="46"/>
        <v>3488</v>
      </c>
      <c r="AF28" s="42"/>
      <c r="AG28" s="46">
        <f t="shared" si="19"/>
        <v>3488</v>
      </c>
      <c r="AH28" s="46">
        <f t="shared" si="47"/>
        <v>2912</v>
      </c>
      <c r="AI28" s="42"/>
      <c r="AJ28" s="42"/>
      <c r="AK28" s="42"/>
      <c r="AL28" s="42"/>
      <c r="AM28" s="42"/>
      <c r="AN28" s="42"/>
      <c r="AO28" s="42">
        <f t="shared" si="20"/>
        <v>0</v>
      </c>
      <c r="AP28" s="46"/>
      <c r="AQ28" s="46"/>
      <c r="AR28" s="42">
        <f t="shared" si="48"/>
        <v>0</v>
      </c>
      <c r="AS28" s="42"/>
      <c r="AT28" s="42"/>
      <c r="AU28" s="42"/>
      <c r="AV28" s="42">
        <f t="shared" si="57"/>
        <v>0</v>
      </c>
      <c r="AW28" s="42">
        <f t="shared" si="53"/>
        <v>0</v>
      </c>
      <c r="AX28" s="42">
        <v>1</v>
      </c>
      <c r="AY28" s="42">
        <v>1600</v>
      </c>
      <c r="AZ28" s="42">
        <f t="shared" si="21"/>
        <v>1600</v>
      </c>
      <c r="BA28" s="46">
        <f t="shared" si="0"/>
        <v>640</v>
      </c>
      <c r="BB28" s="46">
        <f t="shared" si="1"/>
        <v>2240</v>
      </c>
      <c r="BC28" s="46">
        <f t="shared" si="22"/>
        <v>1600</v>
      </c>
      <c r="BD28" s="42">
        <v>1</v>
      </c>
      <c r="BE28" s="42">
        <v>1888</v>
      </c>
      <c r="BF28" s="42">
        <f t="shared" si="2"/>
        <v>1888</v>
      </c>
      <c r="BG28" s="46">
        <f t="shared" si="58"/>
        <v>264.32000000000005</v>
      </c>
      <c r="BH28" s="42"/>
      <c r="BI28" s="46">
        <f t="shared" si="49"/>
        <v>2152.32</v>
      </c>
      <c r="BJ28" s="46">
        <f t="shared" si="50"/>
        <v>1312</v>
      </c>
      <c r="BK28" s="42">
        <v>1</v>
      </c>
      <c r="BL28" s="42">
        <v>1744</v>
      </c>
      <c r="BM28" s="42">
        <f t="shared" si="3"/>
        <v>1744</v>
      </c>
      <c r="BN28" s="46">
        <f t="shared" si="4"/>
        <v>174.4</v>
      </c>
      <c r="BO28" s="42"/>
      <c r="BP28" s="46">
        <f t="shared" si="5"/>
        <v>1918.4</v>
      </c>
      <c r="BQ28" s="42">
        <f t="shared" si="60"/>
        <v>1456</v>
      </c>
      <c r="BR28" s="42">
        <v>0.5</v>
      </c>
      <c r="BS28" s="42">
        <v>1744</v>
      </c>
      <c r="BT28" s="42"/>
      <c r="BU28" s="42">
        <f t="shared" si="6"/>
        <v>872</v>
      </c>
      <c r="BV28" s="46">
        <f>3200*BR28-BU28</f>
        <v>728</v>
      </c>
      <c r="BW28" s="42"/>
      <c r="BX28" s="42"/>
      <c r="BY28" s="42"/>
      <c r="BZ28" s="42">
        <f t="shared" si="25"/>
        <v>0</v>
      </c>
      <c r="CA28" s="42"/>
      <c r="CB28" s="42">
        <v>4</v>
      </c>
      <c r="CC28" s="42">
        <v>1744</v>
      </c>
      <c r="CD28" s="42">
        <f t="shared" si="26"/>
        <v>6976</v>
      </c>
      <c r="CE28" s="46">
        <f t="shared" si="36"/>
        <v>697.6</v>
      </c>
      <c r="CF28" s="46">
        <f t="shared" si="27"/>
        <v>7673.6</v>
      </c>
      <c r="CG28" s="42">
        <f t="shared" si="51"/>
        <v>5824</v>
      </c>
      <c r="CH28" s="42"/>
      <c r="CI28" s="42"/>
      <c r="CJ28" s="42">
        <f t="shared" si="28"/>
        <v>0</v>
      </c>
      <c r="CK28" s="42">
        <f t="shared" si="29"/>
        <v>0</v>
      </c>
      <c r="CL28" s="42">
        <f t="shared" si="30"/>
        <v>0</v>
      </c>
      <c r="CM28" s="42"/>
      <c r="CN28" s="42"/>
      <c r="CO28" s="42"/>
      <c r="CP28" s="42">
        <f t="shared" si="31"/>
        <v>0</v>
      </c>
      <c r="CQ28" s="42">
        <f t="shared" si="32"/>
        <v>0</v>
      </c>
      <c r="CR28" s="42">
        <f t="shared" si="33"/>
        <v>0</v>
      </c>
      <c r="CS28" s="42"/>
      <c r="CT28" s="42"/>
      <c r="CU28" s="42"/>
      <c r="CV28" s="42"/>
      <c r="CW28" s="42">
        <f>E28+I28+M28+Q28+U28+Y28+AC28+AM28+AT28+AX28+BD28+BK28+BR28+BW28+CB28+CH28+CN28</f>
        <v>14.5</v>
      </c>
      <c r="CX28" s="46">
        <f t="shared" si="52"/>
        <v>48176.32</v>
      </c>
      <c r="CY28" s="58"/>
      <c r="CZ28" s="58"/>
      <c r="DA28" s="58"/>
      <c r="DB28" s="58"/>
      <c r="DC28" s="59"/>
      <c r="DD28" s="59"/>
      <c r="DE28" s="59"/>
      <c r="DF28" s="59"/>
      <c r="DG28" s="59"/>
      <c r="DH28" s="59"/>
      <c r="DI28" s="59"/>
      <c r="DJ28" s="59"/>
    </row>
    <row r="29" spans="1:114" s="12" customFormat="1" ht="45" customHeight="1">
      <c r="A29" s="45" t="s">
        <v>39</v>
      </c>
      <c r="B29" s="42">
        <v>11</v>
      </c>
      <c r="C29" s="42">
        <v>11</v>
      </c>
      <c r="D29" s="42">
        <v>195</v>
      </c>
      <c r="E29" s="42">
        <v>1</v>
      </c>
      <c r="F29" s="42">
        <v>2624</v>
      </c>
      <c r="G29" s="46">
        <f t="shared" si="42"/>
        <v>2624</v>
      </c>
      <c r="H29" s="46">
        <f t="shared" si="54"/>
        <v>576</v>
      </c>
      <c r="I29" s="42"/>
      <c r="J29" s="42"/>
      <c r="K29" s="42">
        <f t="shared" si="15"/>
        <v>0</v>
      </c>
      <c r="L29" s="42"/>
      <c r="M29" s="42">
        <v>0.5</v>
      </c>
      <c r="N29" s="42">
        <v>2032</v>
      </c>
      <c r="O29" s="46">
        <f t="shared" si="16"/>
        <v>1016</v>
      </c>
      <c r="P29" s="46">
        <f>3200*M29-O29</f>
        <v>584</v>
      </c>
      <c r="Q29" s="42">
        <v>1</v>
      </c>
      <c r="R29" s="42">
        <v>1744</v>
      </c>
      <c r="S29" s="46">
        <f t="shared" si="43"/>
        <v>1744</v>
      </c>
      <c r="T29" s="46">
        <f t="shared" si="55"/>
        <v>1456</v>
      </c>
      <c r="U29" s="42">
        <v>1</v>
      </c>
      <c r="V29" s="42">
        <v>1600</v>
      </c>
      <c r="W29" s="46">
        <f t="shared" si="56"/>
        <v>1600</v>
      </c>
      <c r="X29" s="46">
        <f>3200*U29-W29</f>
        <v>1600</v>
      </c>
      <c r="Y29" s="42">
        <v>1</v>
      </c>
      <c r="Z29" s="42">
        <v>1888</v>
      </c>
      <c r="AA29" s="46">
        <f t="shared" si="44"/>
        <v>1888</v>
      </c>
      <c r="AB29" s="46">
        <f t="shared" si="45"/>
        <v>1312</v>
      </c>
      <c r="AC29" s="42">
        <v>2</v>
      </c>
      <c r="AD29" s="42">
        <v>1744</v>
      </c>
      <c r="AE29" s="42">
        <f t="shared" si="46"/>
        <v>3488</v>
      </c>
      <c r="AF29" s="42"/>
      <c r="AG29" s="46">
        <f t="shared" si="19"/>
        <v>3488</v>
      </c>
      <c r="AH29" s="46">
        <f t="shared" si="47"/>
        <v>2912</v>
      </c>
      <c r="AI29" s="42"/>
      <c r="AJ29" s="42"/>
      <c r="AK29" s="42"/>
      <c r="AL29" s="42"/>
      <c r="AM29" s="42"/>
      <c r="AN29" s="42"/>
      <c r="AO29" s="42">
        <f t="shared" si="20"/>
        <v>0</v>
      </c>
      <c r="AP29" s="46"/>
      <c r="AQ29" s="46"/>
      <c r="AR29" s="42">
        <f t="shared" si="48"/>
        <v>0</v>
      </c>
      <c r="AS29" s="42"/>
      <c r="AT29" s="42"/>
      <c r="AU29" s="42"/>
      <c r="AV29" s="42">
        <f t="shared" si="57"/>
        <v>0</v>
      </c>
      <c r="AW29" s="42">
        <f t="shared" si="53"/>
        <v>0</v>
      </c>
      <c r="AX29" s="42">
        <v>1</v>
      </c>
      <c r="AY29" s="42">
        <v>1600</v>
      </c>
      <c r="AZ29" s="42">
        <f t="shared" si="21"/>
        <v>1600</v>
      </c>
      <c r="BA29" s="46">
        <f t="shared" si="0"/>
        <v>640</v>
      </c>
      <c r="BB29" s="46">
        <f t="shared" si="1"/>
        <v>2240</v>
      </c>
      <c r="BC29" s="46">
        <f t="shared" si="22"/>
        <v>1600</v>
      </c>
      <c r="BD29" s="42">
        <v>1</v>
      </c>
      <c r="BE29" s="42">
        <v>1888</v>
      </c>
      <c r="BF29" s="42">
        <f t="shared" si="2"/>
        <v>1888</v>
      </c>
      <c r="BG29" s="46">
        <f t="shared" si="58"/>
        <v>264.32000000000005</v>
      </c>
      <c r="BH29" s="42"/>
      <c r="BI29" s="46">
        <f t="shared" si="49"/>
        <v>2152.32</v>
      </c>
      <c r="BJ29" s="46">
        <f t="shared" si="50"/>
        <v>1312</v>
      </c>
      <c r="BK29" s="42">
        <v>1</v>
      </c>
      <c r="BL29" s="42">
        <v>1744</v>
      </c>
      <c r="BM29" s="42">
        <f t="shared" si="3"/>
        <v>1744</v>
      </c>
      <c r="BN29" s="46">
        <f t="shared" si="4"/>
        <v>174.4</v>
      </c>
      <c r="BO29" s="42"/>
      <c r="BP29" s="46">
        <f t="shared" si="5"/>
        <v>1918.4</v>
      </c>
      <c r="BQ29" s="42">
        <f t="shared" si="60"/>
        <v>1456</v>
      </c>
      <c r="BR29" s="42">
        <v>1</v>
      </c>
      <c r="BS29" s="42">
        <v>1744</v>
      </c>
      <c r="BT29" s="42"/>
      <c r="BU29" s="42">
        <f t="shared" si="6"/>
        <v>1744</v>
      </c>
      <c r="BV29" s="46">
        <f>3200*BR29-BU29</f>
        <v>1456</v>
      </c>
      <c r="BW29" s="42"/>
      <c r="BX29" s="42"/>
      <c r="BY29" s="42"/>
      <c r="BZ29" s="42">
        <f t="shared" si="25"/>
        <v>0</v>
      </c>
      <c r="CA29" s="42"/>
      <c r="CB29" s="42">
        <v>4.75</v>
      </c>
      <c r="CC29" s="42">
        <v>1744</v>
      </c>
      <c r="CD29" s="42">
        <f t="shared" si="26"/>
        <v>8284</v>
      </c>
      <c r="CE29" s="46">
        <f t="shared" si="36"/>
        <v>828.4000000000001</v>
      </c>
      <c r="CF29" s="46">
        <f t="shared" si="27"/>
        <v>9112.4</v>
      </c>
      <c r="CG29" s="42">
        <f t="shared" si="51"/>
        <v>6916</v>
      </c>
      <c r="CH29" s="42"/>
      <c r="CI29" s="42"/>
      <c r="CJ29" s="42">
        <f t="shared" si="28"/>
        <v>0</v>
      </c>
      <c r="CK29" s="42">
        <f t="shared" si="29"/>
        <v>0</v>
      </c>
      <c r="CL29" s="42">
        <f t="shared" si="30"/>
        <v>0</v>
      </c>
      <c r="CM29" s="42"/>
      <c r="CN29" s="42"/>
      <c r="CO29" s="42"/>
      <c r="CP29" s="42">
        <f t="shared" si="31"/>
        <v>0</v>
      </c>
      <c r="CQ29" s="42">
        <f t="shared" si="32"/>
        <v>0</v>
      </c>
      <c r="CR29" s="42">
        <f t="shared" si="33"/>
        <v>0</v>
      </c>
      <c r="CS29" s="42"/>
      <c r="CT29" s="42"/>
      <c r="CU29" s="42"/>
      <c r="CV29" s="42"/>
      <c r="CW29" s="42">
        <f t="shared" si="59"/>
        <v>15.25</v>
      </c>
      <c r="CX29" s="46">
        <f t="shared" si="52"/>
        <v>50707.12</v>
      </c>
      <c r="CY29" s="58"/>
      <c r="CZ29" s="58"/>
      <c r="DA29" s="58"/>
      <c r="DB29" s="58"/>
      <c r="DC29" s="59"/>
      <c r="DD29" s="59"/>
      <c r="DE29" s="59"/>
      <c r="DF29" s="59"/>
      <c r="DG29" s="59"/>
      <c r="DH29" s="59"/>
      <c r="DI29" s="59"/>
      <c r="DJ29" s="59"/>
    </row>
    <row r="30" spans="1:114" s="12" customFormat="1" ht="45" customHeight="1">
      <c r="A30" s="45" t="s">
        <v>40</v>
      </c>
      <c r="B30" s="42">
        <v>9</v>
      </c>
      <c r="C30" s="42">
        <v>9</v>
      </c>
      <c r="D30" s="42">
        <v>136</v>
      </c>
      <c r="E30" s="42">
        <v>1</v>
      </c>
      <c r="F30" s="42">
        <v>2624</v>
      </c>
      <c r="G30" s="46">
        <f t="shared" si="42"/>
        <v>2624</v>
      </c>
      <c r="H30" s="46">
        <f t="shared" si="54"/>
        <v>576</v>
      </c>
      <c r="I30" s="42"/>
      <c r="J30" s="42"/>
      <c r="K30" s="42">
        <f t="shared" si="15"/>
        <v>0</v>
      </c>
      <c r="L30" s="42"/>
      <c r="M30" s="42">
        <v>0.5</v>
      </c>
      <c r="N30" s="42">
        <v>2032</v>
      </c>
      <c r="O30" s="46">
        <f t="shared" si="16"/>
        <v>1016</v>
      </c>
      <c r="P30" s="46">
        <f>3200*M30-O30</f>
        <v>584</v>
      </c>
      <c r="Q30" s="42">
        <v>1</v>
      </c>
      <c r="R30" s="42">
        <v>1744</v>
      </c>
      <c r="S30" s="46">
        <f t="shared" si="43"/>
        <v>1744</v>
      </c>
      <c r="T30" s="46">
        <f t="shared" si="55"/>
        <v>1456</v>
      </c>
      <c r="U30" s="42"/>
      <c r="V30" s="42"/>
      <c r="W30" s="42">
        <f t="shared" si="56"/>
        <v>0</v>
      </c>
      <c r="X30" s="42"/>
      <c r="Y30" s="42">
        <v>1</v>
      </c>
      <c r="Z30" s="42">
        <v>1888</v>
      </c>
      <c r="AA30" s="46">
        <f t="shared" si="44"/>
        <v>1888</v>
      </c>
      <c r="AB30" s="46">
        <f t="shared" si="45"/>
        <v>1312</v>
      </c>
      <c r="AC30" s="42">
        <v>2</v>
      </c>
      <c r="AD30" s="42">
        <v>1744</v>
      </c>
      <c r="AE30" s="42">
        <f t="shared" si="46"/>
        <v>3488</v>
      </c>
      <c r="AF30" s="42"/>
      <c r="AG30" s="46">
        <f t="shared" si="19"/>
        <v>3488</v>
      </c>
      <c r="AH30" s="46">
        <f t="shared" si="47"/>
        <v>2912</v>
      </c>
      <c r="AI30" s="42"/>
      <c r="AJ30" s="42"/>
      <c r="AK30" s="42"/>
      <c r="AL30" s="42"/>
      <c r="AM30" s="42">
        <v>1</v>
      </c>
      <c r="AN30" s="42">
        <v>1888</v>
      </c>
      <c r="AO30" s="50">
        <f t="shared" si="20"/>
        <v>1888</v>
      </c>
      <c r="AP30" s="77">
        <f>AO30*25%</f>
        <v>472</v>
      </c>
      <c r="AQ30" s="77"/>
      <c r="AR30" s="50">
        <f>AO30+AP30+AQ30</f>
        <v>2360</v>
      </c>
      <c r="AS30" s="50">
        <f>3200*AM30-AO30</f>
        <v>1312</v>
      </c>
      <c r="AT30" s="42"/>
      <c r="AU30" s="42"/>
      <c r="AV30" s="42">
        <f t="shared" si="57"/>
        <v>0</v>
      </c>
      <c r="AW30" s="42">
        <f t="shared" si="53"/>
        <v>0</v>
      </c>
      <c r="AX30" s="42">
        <v>1</v>
      </c>
      <c r="AY30" s="42">
        <v>1600</v>
      </c>
      <c r="AZ30" s="42">
        <f t="shared" si="21"/>
        <v>1600</v>
      </c>
      <c r="BA30" s="46">
        <f>(AX30*AY30)*40%</f>
        <v>640</v>
      </c>
      <c r="BB30" s="46">
        <f t="shared" si="1"/>
        <v>2240</v>
      </c>
      <c r="BC30" s="46">
        <f t="shared" si="22"/>
        <v>1600</v>
      </c>
      <c r="BD30" s="42">
        <v>1.5</v>
      </c>
      <c r="BE30" s="42">
        <v>1888</v>
      </c>
      <c r="BF30" s="42">
        <f t="shared" si="2"/>
        <v>2832</v>
      </c>
      <c r="BG30" s="46">
        <f t="shared" si="58"/>
        <v>396.48</v>
      </c>
      <c r="BH30" s="42"/>
      <c r="BI30" s="42">
        <f t="shared" si="49"/>
        <v>3228.48</v>
      </c>
      <c r="BJ30" s="46">
        <f t="shared" si="50"/>
        <v>1968</v>
      </c>
      <c r="BK30" s="42">
        <v>0.5</v>
      </c>
      <c r="BL30" s="42">
        <v>1744</v>
      </c>
      <c r="BM30" s="46">
        <f t="shared" si="3"/>
        <v>872</v>
      </c>
      <c r="BN30" s="42">
        <f t="shared" si="4"/>
        <v>87.2</v>
      </c>
      <c r="BO30" s="42"/>
      <c r="BP30" s="42">
        <f t="shared" si="5"/>
        <v>959.2</v>
      </c>
      <c r="BQ30" s="42">
        <f t="shared" si="60"/>
        <v>728</v>
      </c>
      <c r="BR30" s="42"/>
      <c r="BS30" s="42"/>
      <c r="BT30" s="42"/>
      <c r="BU30" s="42">
        <f t="shared" si="6"/>
        <v>0</v>
      </c>
      <c r="BV30" s="42"/>
      <c r="BW30" s="42"/>
      <c r="BX30" s="42"/>
      <c r="BY30" s="42"/>
      <c r="BZ30" s="42">
        <f t="shared" si="25"/>
        <v>0</v>
      </c>
      <c r="CA30" s="42"/>
      <c r="CB30" s="42">
        <v>4</v>
      </c>
      <c r="CC30" s="42">
        <v>1744</v>
      </c>
      <c r="CD30" s="42">
        <f t="shared" si="26"/>
        <v>6976</v>
      </c>
      <c r="CE30" s="46">
        <f t="shared" si="36"/>
        <v>697.6</v>
      </c>
      <c r="CF30" s="46">
        <f t="shared" si="27"/>
        <v>7673.6</v>
      </c>
      <c r="CG30" s="42">
        <f t="shared" si="51"/>
        <v>5824</v>
      </c>
      <c r="CH30" s="42"/>
      <c r="CI30" s="42"/>
      <c r="CJ30" s="42">
        <f t="shared" si="28"/>
        <v>0</v>
      </c>
      <c r="CK30" s="42">
        <f t="shared" si="29"/>
        <v>0</v>
      </c>
      <c r="CL30" s="42">
        <f t="shared" si="30"/>
        <v>0</v>
      </c>
      <c r="CM30" s="42"/>
      <c r="CN30" s="42"/>
      <c r="CO30" s="42"/>
      <c r="CP30" s="42">
        <f t="shared" si="31"/>
        <v>0</v>
      </c>
      <c r="CQ30" s="42">
        <f t="shared" si="32"/>
        <v>0</v>
      </c>
      <c r="CR30" s="42">
        <f t="shared" si="33"/>
        <v>0</v>
      </c>
      <c r="CS30" s="42"/>
      <c r="CT30" s="42"/>
      <c r="CU30" s="42"/>
      <c r="CV30" s="42"/>
      <c r="CW30" s="42">
        <f t="shared" si="59"/>
        <v>13.5</v>
      </c>
      <c r="CX30" s="46">
        <f t="shared" si="52"/>
        <v>45493.28</v>
      </c>
      <c r="CY30" s="58"/>
      <c r="CZ30" s="58"/>
      <c r="DA30" s="58"/>
      <c r="DB30" s="58"/>
      <c r="DC30" s="59"/>
      <c r="DD30" s="59"/>
      <c r="DE30" s="59"/>
      <c r="DF30" s="59"/>
      <c r="DG30" s="59"/>
      <c r="DH30" s="59"/>
      <c r="DI30" s="59"/>
      <c r="DJ30" s="59"/>
    </row>
    <row r="31" spans="1:114" s="12" customFormat="1" ht="45" customHeight="1">
      <c r="A31" s="64" t="s">
        <v>41</v>
      </c>
      <c r="B31" s="42">
        <v>3</v>
      </c>
      <c r="C31" s="42">
        <v>3</v>
      </c>
      <c r="D31" s="42">
        <v>26</v>
      </c>
      <c r="E31" s="42">
        <v>0.5</v>
      </c>
      <c r="F31" s="42">
        <v>2624</v>
      </c>
      <c r="G31" s="46">
        <f t="shared" si="42"/>
        <v>1312</v>
      </c>
      <c r="H31" s="46">
        <f t="shared" si="54"/>
        <v>288</v>
      </c>
      <c r="I31" s="42"/>
      <c r="J31" s="42"/>
      <c r="K31" s="42">
        <f t="shared" si="15"/>
        <v>0</v>
      </c>
      <c r="L31" s="42"/>
      <c r="M31" s="42"/>
      <c r="N31" s="42"/>
      <c r="O31" s="42">
        <f t="shared" si="16"/>
        <v>0</v>
      </c>
      <c r="P31" s="42"/>
      <c r="Q31" s="42">
        <v>1</v>
      </c>
      <c r="R31" s="42">
        <v>1744</v>
      </c>
      <c r="S31" s="46">
        <f t="shared" si="43"/>
        <v>1744</v>
      </c>
      <c r="T31" s="46">
        <f t="shared" si="55"/>
        <v>1456</v>
      </c>
      <c r="U31" s="42"/>
      <c r="V31" s="42"/>
      <c r="W31" s="42">
        <f t="shared" si="56"/>
        <v>0</v>
      </c>
      <c r="X31" s="42"/>
      <c r="Y31" s="42">
        <v>1</v>
      </c>
      <c r="Z31" s="42">
        <v>1888</v>
      </c>
      <c r="AA31" s="46">
        <f t="shared" si="44"/>
        <v>1888</v>
      </c>
      <c r="AB31" s="46">
        <f t="shared" si="45"/>
        <v>1312</v>
      </c>
      <c r="AC31" s="42">
        <v>2</v>
      </c>
      <c r="AD31" s="42">
        <v>1744</v>
      </c>
      <c r="AE31" s="42">
        <f t="shared" si="46"/>
        <v>3488</v>
      </c>
      <c r="AF31" s="42"/>
      <c r="AG31" s="46">
        <f t="shared" si="19"/>
        <v>3488</v>
      </c>
      <c r="AH31" s="46">
        <f t="shared" si="47"/>
        <v>2912</v>
      </c>
      <c r="AI31" s="42"/>
      <c r="AJ31" s="42"/>
      <c r="AK31" s="42"/>
      <c r="AL31" s="42"/>
      <c r="AM31" s="42"/>
      <c r="AN31" s="42"/>
      <c r="AO31" s="42">
        <f t="shared" si="20"/>
        <v>0</v>
      </c>
      <c r="AP31" s="42"/>
      <c r="AQ31" s="42"/>
      <c r="AR31" s="42">
        <f t="shared" si="48"/>
        <v>0</v>
      </c>
      <c r="AS31" s="42"/>
      <c r="AT31" s="42"/>
      <c r="AU31" s="42"/>
      <c r="AV31" s="42">
        <f t="shared" si="57"/>
        <v>0</v>
      </c>
      <c r="AW31" s="42">
        <f t="shared" si="53"/>
        <v>0</v>
      </c>
      <c r="AX31" s="42">
        <v>1</v>
      </c>
      <c r="AY31" s="42">
        <v>1600</v>
      </c>
      <c r="AZ31" s="42">
        <f t="shared" si="21"/>
        <v>1600</v>
      </c>
      <c r="BA31" s="46">
        <f t="shared" si="0"/>
        <v>640</v>
      </c>
      <c r="BB31" s="46">
        <f t="shared" si="1"/>
        <v>2240</v>
      </c>
      <c r="BC31" s="46">
        <f t="shared" si="22"/>
        <v>1600</v>
      </c>
      <c r="BD31" s="42">
        <v>1.5</v>
      </c>
      <c r="BE31" s="42">
        <v>1888</v>
      </c>
      <c r="BF31" s="42">
        <f t="shared" si="2"/>
        <v>2832</v>
      </c>
      <c r="BG31" s="46">
        <f t="shared" si="58"/>
        <v>396.48</v>
      </c>
      <c r="BH31" s="42"/>
      <c r="BI31" s="42">
        <f t="shared" si="49"/>
        <v>3228.48</v>
      </c>
      <c r="BJ31" s="46">
        <f t="shared" si="50"/>
        <v>1968</v>
      </c>
      <c r="BK31" s="42">
        <v>0.5</v>
      </c>
      <c r="BL31" s="42">
        <v>1744</v>
      </c>
      <c r="BM31" s="46">
        <f t="shared" si="3"/>
        <v>872</v>
      </c>
      <c r="BN31" s="42">
        <f t="shared" si="4"/>
        <v>87.2</v>
      </c>
      <c r="BO31" s="42"/>
      <c r="BP31" s="42">
        <f t="shared" si="5"/>
        <v>959.2</v>
      </c>
      <c r="BQ31" s="42">
        <f t="shared" si="60"/>
        <v>728</v>
      </c>
      <c r="BR31" s="42"/>
      <c r="BS31" s="42"/>
      <c r="BT31" s="42"/>
      <c r="BU31" s="42">
        <f t="shared" si="6"/>
        <v>0</v>
      </c>
      <c r="BV31" s="42"/>
      <c r="BW31" s="42"/>
      <c r="BX31" s="42"/>
      <c r="BY31" s="42"/>
      <c r="BZ31" s="42">
        <f t="shared" si="25"/>
        <v>0</v>
      </c>
      <c r="CA31" s="42"/>
      <c r="CB31" s="42">
        <v>3</v>
      </c>
      <c r="CC31" s="42">
        <v>1744</v>
      </c>
      <c r="CD31" s="42">
        <f t="shared" si="26"/>
        <v>5232</v>
      </c>
      <c r="CE31" s="46">
        <f t="shared" si="36"/>
        <v>523.2</v>
      </c>
      <c r="CF31" s="46">
        <f t="shared" si="27"/>
        <v>5755.2</v>
      </c>
      <c r="CG31" s="42">
        <f t="shared" si="51"/>
        <v>4368</v>
      </c>
      <c r="CH31" s="42">
        <v>0.25</v>
      </c>
      <c r="CI31" s="42">
        <v>1744</v>
      </c>
      <c r="CJ31" s="42">
        <f t="shared" si="28"/>
        <v>436</v>
      </c>
      <c r="CK31" s="42">
        <f t="shared" si="29"/>
        <v>52.32</v>
      </c>
      <c r="CL31" s="42">
        <f t="shared" si="30"/>
        <v>488.32</v>
      </c>
      <c r="CM31" s="42">
        <f>3200*CH31-CJ31</f>
        <v>364</v>
      </c>
      <c r="CN31" s="42">
        <v>1.15</v>
      </c>
      <c r="CO31" s="42">
        <v>2320</v>
      </c>
      <c r="CP31" s="42">
        <f t="shared" si="31"/>
        <v>2668</v>
      </c>
      <c r="CQ31" s="42">
        <f t="shared" si="32"/>
        <v>266.8</v>
      </c>
      <c r="CR31" s="46">
        <f t="shared" si="33"/>
        <v>2934.8</v>
      </c>
      <c r="CS31" s="46">
        <f>3200*CN31-CP31</f>
        <v>1011.9999999999995</v>
      </c>
      <c r="CT31" s="46"/>
      <c r="CU31" s="46"/>
      <c r="CV31" s="46"/>
      <c r="CW31" s="42">
        <f t="shared" si="59"/>
        <v>11.9</v>
      </c>
      <c r="CX31" s="46">
        <f t="shared" si="52"/>
        <v>40046.00000000001</v>
      </c>
      <c r="CY31" s="58"/>
      <c r="CZ31" s="58"/>
      <c r="DA31" s="58"/>
      <c r="DB31" s="58"/>
      <c r="DC31" s="59"/>
      <c r="DD31" s="59"/>
      <c r="DE31" s="59"/>
      <c r="DF31" s="59"/>
      <c r="DG31" s="59"/>
      <c r="DH31" s="59"/>
      <c r="DI31" s="59"/>
      <c r="DJ31" s="59"/>
    </row>
    <row r="32" spans="1:114" s="12" customFormat="1" ht="45" customHeight="1">
      <c r="A32" s="45" t="s">
        <v>42</v>
      </c>
      <c r="B32" s="42">
        <v>9</v>
      </c>
      <c r="C32" s="42">
        <v>9</v>
      </c>
      <c r="D32" s="42">
        <v>78</v>
      </c>
      <c r="E32" s="42">
        <v>1</v>
      </c>
      <c r="F32" s="42">
        <v>2624</v>
      </c>
      <c r="G32" s="46">
        <f t="shared" si="42"/>
        <v>2624</v>
      </c>
      <c r="H32" s="46">
        <f t="shared" si="54"/>
        <v>576</v>
      </c>
      <c r="I32" s="42"/>
      <c r="J32" s="42"/>
      <c r="K32" s="42">
        <f t="shared" si="15"/>
        <v>0</v>
      </c>
      <c r="L32" s="42"/>
      <c r="M32" s="42">
        <v>0.5</v>
      </c>
      <c r="N32" s="42">
        <v>2032</v>
      </c>
      <c r="O32" s="46">
        <f t="shared" si="16"/>
        <v>1016</v>
      </c>
      <c r="P32" s="46">
        <f>3200*M32-O32</f>
        <v>584</v>
      </c>
      <c r="Q32" s="42">
        <v>1</v>
      </c>
      <c r="R32" s="42">
        <v>1744</v>
      </c>
      <c r="S32" s="46">
        <f t="shared" si="43"/>
        <v>1744</v>
      </c>
      <c r="T32" s="46">
        <f t="shared" si="55"/>
        <v>1456</v>
      </c>
      <c r="U32" s="42"/>
      <c r="V32" s="42"/>
      <c r="W32" s="42">
        <f t="shared" si="56"/>
        <v>0</v>
      </c>
      <c r="X32" s="42"/>
      <c r="Y32" s="42">
        <v>1</v>
      </c>
      <c r="Z32" s="42">
        <v>1888</v>
      </c>
      <c r="AA32" s="46">
        <f t="shared" si="44"/>
        <v>1888</v>
      </c>
      <c r="AB32" s="46">
        <f t="shared" si="45"/>
        <v>1312</v>
      </c>
      <c r="AC32" s="42">
        <v>3</v>
      </c>
      <c r="AD32" s="42">
        <v>1744</v>
      </c>
      <c r="AE32" s="42">
        <f t="shared" si="46"/>
        <v>5232</v>
      </c>
      <c r="AF32" s="42"/>
      <c r="AG32" s="46">
        <f t="shared" si="19"/>
        <v>5232</v>
      </c>
      <c r="AH32" s="46">
        <f t="shared" si="47"/>
        <v>4368</v>
      </c>
      <c r="AI32" s="42"/>
      <c r="AJ32" s="42"/>
      <c r="AK32" s="42"/>
      <c r="AL32" s="42"/>
      <c r="AM32" s="42"/>
      <c r="AN32" s="42"/>
      <c r="AO32" s="42">
        <f t="shared" si="20"/>
        <v>0</v>
      </c>
      <c r="AP32" s="42"/>
      <c r="AQ32" s="42"/>
      <c r="AR32" s="42">
        <f t="shared" si="48"/>
        <v>0</v>
      </c>
      <c r="AS32" s="42"/>
      <c r="AT32" s="42">
        <v>0.5</v>
      </c>
      <c r="AU32" s="42">
        <v>1600</v>
      </c>
      <c r="AV32" s="42">
        <f t="shared" si="57"/>
        <v>800</v>
      </c>
      <c r="AW32" s="42">
        <f t="shared" si="53"/>
        <v>800</v>
      </c>
      <c r="AX32" s="42">
        <v>1</v>
      </c>
      <c r="AY32" s="42">
        <v>1600</v>
      </c>
      <c r="AZ32" s="42">
        <f t="shared" si="21"/>
        <v>1600</v>
      </c>
      <c r="BA32" s="46">
        <f t="shared" si="0"/>
        <v>640</v>
      </c>
      <c r="BB32" s="46">
        <f t="shared" si="1"/>
        <v>2240</v>
      </c>
      <c r="BC32" s="46">
        <f t="shared" si="22"/>
        <v>1600</v>
      </c>
      <c r="BD32" s="42">
        <v>1</v>
      </c>
      <c r="BE32" s="42">
        <v>1888</v>
      </c>
      <c r="BF32" s="42">
        <f t="shared" si="2"/>
        <v>1888</v>
      </c>
      <c r="BG32" s="46">
        <f t="shared" si="58"/>
        <v>264.32000000000005</v>
      </c>
      <c r="BH32" s="42"/>
      <c r="BI32" s="46">
        <f t="shared" si="49"/>
        <v>2152.32</v>
      </c>
      <c r="BJ32" s="46">
        <f t="shared" si="50"/>
        <v>1312</v>
      </c>
      <c r="BK32" s="42">
        <v>0.5</v>
      </c>
      <c r="BL32" s="42">
        <v>1744</v>
      </c>
      <c r="BM32" s="46">
        <f t="shared" si="3"/>
        <v>872</v>
      </c>
      <c r="BN32" s="42">
        <f t="shared" si="4"/>
        <v>87.2</v>
      </c>
      <c r="BO32" s="42"/>
      <c r="BP32" s="42">
        <f t="shared" si="5"/>
        <v>959.2</v>
      </c>
      <c r="BQ32" s="42">
        <f t="shared" si="60"/>
        <v>728</v>
      </c>
      <c r="BR32" s="42"/>
      <c r="BS32" s="42"/>
      <c r="BT32" s="42"/>
      <c r="BU32" s="42">
        <f t="shared" si="6"/>
        <v>0</v>
      </c>
      <c r="BV32" s="42"/>
      <c r="BW32" s="42"/>
      <c r="BX32" s="42"/>
      <c r="BY32" s="42"/>
      <c r="BZ32" s="42">
        <f t="shared" si="25"/>
        <v>0</v>
      </c>
      <c r="CA32" s="42"/>
      <c r="CB32" s="42">
        <v>3</v>
      </c>
      <c r="CC32" s="42">
        <v>1744</v>
      </c>
      <c r="CD32" s="42">
        <f t="shared" si="26"/>
        <v>5232</v>
      </c>
      <c r="CE32" s="46">
        <f t="shared" si="36"/>
        <v>523.2</v>
      </c>
      <c r="CF32" s="46">
        <f t="shared" si="27"/>
        <v>5755.2</v>
      </c>
      <c r="CG32" s="42">
        <f t="shared" si="51"/>
        <v>4368</v>
      </c>
      <c r="CH32" s="42"/>
      <c r="CI32" s="42"/>
      <c r="CJ32" s="42">
        <f t="shared" si="28"/>
        <v>0</v>
      </c>
      <c r="CK32" s="42">
        <f t="shared" si="29"/>
        <v>0</v>
      </c>
      <c r="CL32" s="42">
        <f t="shared" si="30"/>
        <v>0</v>
      </c>
      <c r="CM32" s="42"/>
      <c r="CN32" s="42"/>
      <c r="CO32" s="42"/>
      <c r="CP32" s="42">
        <f t="shared" si="31"/>
        <v>0</v>
      </c>
      <c r="CQ32" s="42">
        <f t="shared" si="32"/>
        <v>0</v>
      </c>
      <c r="CR32" s="42">
        <f t="shared" si="33"/>
        <v>0</v>
      </c>
      <c r="CS32" s="42"/>
      <c r="CT32" s="42"/>
      <c r="CU32" s="42"/>
      <c r="CV32" s="42"/>
      <c r="CW32" s="42">
        <f t="shared" si="59"/>
        <v>12.5</v>
      </c>
      <c r="CX32" s="46">
        <f t="shared" si="52"/>
        <v>41514.72</v>
      </c>
      <c r="CY32" s="58"/>
      <c r="CZ32" s="58"/>
      <c r="DA32" s="58"/>
      <c r="DB32" s="58"/>
      <c r="DC32" s="59"/>
      <c r="DD32" s="59"/>
      <c r="DE32" s="59"/>
      <c r="DF32" s="59"/>
      <c r="DG32" s="59"/>
      <c r="DH32" s="59"/>
      <c r="DI32" s="59"/>
      <c r="DJ32" s="59"/>
    </row>
    <row r="33" spans="1:114" s="12" customFormat="1" ht="45" customHeight="1">
      <c r="A33" s="45" t="s">
        <v>43</v>
      </c>
      <c r="B33" s="42">
        <v>11</v>
      </c>
      <c r="C33" s="42">
        <v>11</v>
      </c>
      <c r="D33" s="42">
        <v>103</v>
      </c>
      <c r="E33" s="42">
        <v>1</v>
      </c>
      <c r="F33" s="42">
        <v>2624</v>
      </c>
      <c r="G33" s="46">
        <f t="shared" si="42"/>
        <v>2624</v>
      </c>
      <c r="H33" s="46">
        <f t="shared" si="54"/>
        <v>576</v>
      </c>
      <c r="I33" s="42">
        <v>1</v>
      </c>
      <c r="J33" s="42">
        <v>2176</v>
      </c>
      <c r="K33" s="42">
        <f t="shared" si="15"/>
        <v>2176</v>
      </c>
      <c r="L33" s="42">
        <f>3200*I33-K33</f>
        <v>1024</v>
      </c>
      <c r="M33" s="42">
        <v>0.5</v>
      </c>
      <c r="N33" s="42">
        <v>2032</v>
      </c>
      <c r="O33" s="46">
        <f t="shared" si="16"/>
        <v>1016</v>
      </c>
      <c r="P33" s="46">
        <f>3200*M33-O33</f>
        <v>584</v>
      </c>
      <c r="Q33" s="42">
        <v>1</v>
      </c>
      <c r="R33" s="42">
        <v>1744</v>
      </c>
      <c r="S33" s="46">
        <f t="shared" si="43"/>
        <v>1744</v>
      </c>
      <c r="T33" s="46">
        <f t="shared" si="55"/>
        <v>1456</v>
      </c>
      <c r="U33" s="42"/>
      <c r="V33" s="42"/>
      <c r="W33" s="42">
        <f t="shared" si="56"/>
        <v>0</v>
      </c>
      <c r="X33" s="42"/>
      <c r="Y33" s="42">
        <v>1</v>
      </c>
      <c r="Z33" s="42">
        <v>1888</v>
      </c>
      <c r="AA33" s="46">
        <f t="shared" si="44"/>
        <v>1888</v>
      </c>
      <c r="AB33" s="46">
        <f t="shared" si="45"/>
        <v>1312</v>
      </c>
      <c r="AC33" s="42">
        <v>3</v>
      </c>
      <c r="AD33" s="42">
        <v>1744</v>
      </c>
      <c r="AE33" s="42">
        <f t="shared" si="46"/>
        <v>5232</v>
      </c>
      <c r="AF33" s="46">
        <f>(AC33*AD33)*10%</f>
        <v>523.2</v>
      </c>
      <c r="AG33" s="46">
        <f>SUM(AC33*AD33)+AF33</f>
        <v>5755.2</v>
      </c>
      <c r="AH33" s="46">
        <f t="shared" si="47"/>
        <v>3844.8</v>
      </c>
      <c r="AI33" s="42"/>
      <c r="AJ33" s="42"/>
      <c r="AK33" s="42"/>
      <c r="AL33" s="42"/>
      <c r="AM33" s="42"/>
      <c r="AN33" s="42"/>
      <c r="AO33" s="42">
        <f t="shared" si="20"/>
        <v>0</v>
      </c>
      <c r="AP33" s="42"/>
      <c r="AQ33" s="42"/>
      <c r="AR33" s="42">
        <f t="shared" si="48"/>
        <v>0</v>
      </c>
      <c r="AS33" s="42"/>
      <c r="AT33" s="42"/>
      <c r="AU33" s="42"/>
      <c r="AV33" s="42">
        <f t="shared" si="57"/>
        <v>0</v>
      </c>
      <c r="AW33" s="42">
        <f t="shared" si="53"/>
        <v>0</v>
      </c>
      <c r="AX33" s="42">
        <v>1</v>
      </c>
      <c r="AY33" s="42">
        <v>1600</v>
      </c>
      <c r="AZ33" s="42">
        <f t="shared" si="21"/>
        <v>1600</v>
      </c>
      <c r="BA33" s="46">
        <f t="shared" si="0"/>
        <v>640</v>
      </c>
      <c r="BB33" s="46">
        <f t="shared" si="1"/>
        <v>2240</v>
      </c>
      <c r="BC33" s="46">
        <f t="shared" si="22"/>
        <v>1600</v>
      </c>
      <c r="BD33" s="42">
        <v>0.25</v>
      </c>
      <c r="BE33" s="42">
        <v>1888</v>
      </c>
      <c r="BF33" s="42">
        <f t="shared" si="2"/>
        <v>472</v>
      </c>
      <c r="BG33" s="46">
        <f>SUM(BF33*10%)</f>
        <v>47.2</v>
      </c>
      <c r="BH33" s="42"/>
      <c r="BI33" s="46">
        <f t="shared" si="49"/>
        <v>519.2</v>
      </c>
      <c r="BJ33" s="46">
        <f t="shared" si="50"/>
        <v>328</v>
      </c>
      <c r="BK33" s="42"/>
      <c r="BL33" s="42"/>
      <c r="BM33" s="42">
        <f t="shared" si="3"/>
        <v>0</v>
      </c>
      <c r="BN33" s="42">
        <f t="shared" si="4"/>
        <v>0</v>
      </c>
      <c r="BO33" s="42"/>
      <c r="BP33" s="42">
        <f t="shared" si="5"/>
        <v>0</v>
      </c>
      <c r="BQ33" s="42">
        <f>3200*BK33-BM33</f>
        <v>0</v>
      </c>
      <c r="BR33" s="42"/>
      <c r="BS33" s="42"/>
      <c r="BT33" s="42"/>
      <c r="BU33" s="42">
        <f t="shared" si="6"/>
        <v>0</v>
      </c>
      <c r="BV33" s="42"/>
      <c r="BW33" s="42"/>
      <c r="BX33" s="42"/>
      <c r="BY33" s="42"/>
      <c r="BZ33" s="42">
        <f t="shared" si="25"/>
        <v>0</v>
      </c>
      <c r="CA33" s="42"/>
      <c r="CB33" s="42">
        <v>1.5</v>
      </c>
      <c r="CC33" s="42">
        <v>1744</v>
      </c>
      <c r="CD33" s="42">
        <f t="shared" si="26"/>
        <v>2616</v>
      </c>
      <c r="CE33" s="46">
        <f t="shared" si="36"/>
        <v>261.6</v>
      </c>
      <c r="CF33" s="46">
        <f t="shared" si="27"/>
        <v>2877.6</v>
      </c>
      <c r="CG33" s="42">
        <f t="shared" si="51"/>
        <v>2184</v>
      </c>
      <c r="CH33" s="42"/>
      <c r="CI33" s="42"/>
      <c r="CJ33" s="42">
        <f t="shared" si="28"/>
        <v>0</v>
      </c>
      <c r="CK33" s="42">
        <f t="shared" si="29"/>
        <v>0</v>
      </c>
      <c r="CL33" s="42">
        <f t="shared" si="30"/>
        <v>0</v>
      </c>
      <c r="CM33" s="42"/>
      <c r="CN33" s="42"/>
      <c r="CO33" s="42"/>
      <c r="CP33" s="42">
        <f t="shared" si="31"/>
        <v>0</v>
      </c>
      <c r="CQ33" s="42">
        <f t="shared" si="32"/>
        <v>0</v>
      </c>
      <c r="CR33" s="42">
        <f t="shared" si="33"/>
        <v>0</v>
      </c>
      <c r="CS33" s="42"/>
      <c r="CT33" s="42"/>
      <c r="CU33" s="42"/>
      <c r="CV33" s="42"/>
      <c r="CW33" s="42">
        <f t="shared" si="59"/>
        <v>10.25</v>
      </c>
      <c r="CX33" s="46">
        <f t="shared" si="52"/>
        <v>33748.8</v>
      </c>
      <c r="CY33" s="58"/>
      <c r="CZ33" s="58"/>
      <c r="DA33" s="58"/>
      <c r="DB33" s="58"/>
      <c r="DC33" s="59"/>
      <c r="DD33" s="59"/>
      <c r="DE33" s="59"/>
      <c r="DF33" s="59"/>
      <c r="DG33" s="59"/>
      <c r="DH33" s="59"/>
      <c r="DI33" s="59"/>
      <c r="DJ33" s="59"/>
    </row>
    <row r="34" spans="1:114" s="12" customFormat="1" ht="45" customHeight="1">
      <c r="A34" s="64"/>
      <c r="B34" s="42"/>
      <c r="C34" s="42"/>
      <c r="D34" s="42"/>
      <c r="E34" s="42"/>
      <c r="F34" s="42"/>
      <c r="G34" s="46"/>
      <c r="H34" s="46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6"/>
      <c r="T34" s="46"/>
      <c r="U34" s="42"/>
      <c r="V34" s="42"/>
      <c r="W34" s="42"/>
      <c r="X34" s="42"/>
      <c r="Y34" s="42"/>
      <c r="Z34" s="42"/>
      <c r="AA34" s="46"/>
      <c r="AB34" s="46">
        <f t="shared" si="45"/>
        <v>0</v>
      </c>
      <c r="AC34" s="42"/>
      <c r="AD34" s="42"/>
      <c r="AE34" s="42"/>
      <c r="AF34" s="42"/>
      <c r="AG34" s="46"/>
      <c r="AH34" s="46">
        <f t="shared" si="47"/>
        <v>0</v>
      </c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>
        <f t="shared" si="53"/>
        <v>0</v>
      </c>
      <c r="AX34" s="42"/>
      <c r="AY34" s="42"/>
      <c r="AZ34" s="42"/>
      <c r="BA34" s="46"/>
      <c r="BB34" s="46"/>
      <c r="BC34" s="46">
        <f t="shared" si="22"/>
        <v>0</v>
      </c>
      <c r="BD34" s="42"/>
      <c r="BE34" s="42"/>
      <c r="BF34" s="42"/>
      <c r="BG34" s="42"/>
      <c r="BH34" s="42"/>
      <c r="BI34" s="42"/>
      <c r="BJ34" s="46">
        <f t="shared" si="50"/>
        <v>0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6"/>
      <c r="CF34" s="46"/>
      <c r="CG34" s="42">
        <f t="shared" si="51"/>
        <v>0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6"/>
      <c r="CS34" s="46"/>
      <c r="CT34" s="46"/>
      <c r="CU34" s="46"/>
      <c r="CV34" s="46"/>
      <c r="CW34" s="42"/>
      <c r="CX34" s="46">
        <f t="shared" si="52"/>
        <v>0</v>
      </c>
      <c r="CY34" s="58"/>
      <c r="CZ34" s="58"/>
      <c r="DA34" s="58"/>
      <c r="DB34" s="58"/>
      <c r="DC34" s="59"/>
      <c r="DD34" s="59"/>
      <c r="DE34" s="59"/>
      <c r="DF34" s="59"/>
      <c r="DG34" s="59"/>
      <c r="DH34" s="59"/>
      <c r="DI34" s="59"/>
      <c r="DJ34" s="59"/>
    </row>
    <row r="35" spans="1:114" s="12" customFormat="1" ht="45" customHeight="1">
      <c r="A35" s="45" t="s">
        <v>45</v>
      </c>
      <c r="B35" s="42">
        <v>6</v>
      </c>
      <c r="C35" s="42">
        <v>6</v>
      </c>
      <c r="D35" s="42">
        <v>42</v>
      </c>
      <c r="E35" s="42"/>
      <c r="F35" s="42"/>
      <c r="G35" s="42">
        <f t="shared" si="42"/>
        <v>0</v>
      </c>
      <c r="H35" s="42"/>
      <c r="I35" s="42"/>
      <c r="J35" s="42"/>
      <c r="K35" s="42">
        <f t="shared" si="15"/>
        <v>0</v>
      </c>
      <c r="L35" s="42"/>
      <c r="M35" s="42"/>
      <c r="N35" s="42"/>
      <c r="O35" s="42">
        <f t="shared" si="16"/>
        <v>0</v>
      </c>
      <c r="P35" s="42"/>
      <c r="Q35" s="42"/>
      <c r="R35" s="42"/>
      <c r="S35" s="46">
        <f t="shared" si="43"/>
        <v>0</v>
      </c>
      <c r="T35" s="46"/>
      <c r="U35" s="42"/>
      <c r="V35" s="42"/>
      <c r="W35" s="42">
        <f>SUM(U35*V35)</f>
        <v>0</v>
      </c>
      <c r="X35" s="42"/>
      <c r="Y35" s="42">
        <v>1</v>
      </c>
      <c r="Z35" s="42">
        <v>1888</v>
      </c>
      <c r="AA35" s="46">
        <f t="shared" si="44"/>
        <v>1888</v>
      </c>
      <c r="AB35" s="46">
        <f t="shared" si="45"/>
        <v>1312</v>
      </c>
      <c r="AC35" s="42">
        <v>2</v>
      </c>
      <c r="AD35" s="42">
        <v>1744</v>
      </c>
      <c r="AE35" s="42">
        <f t="shared" si="46"/>
        <v>3488</v>
      </c>
      <c r="AF35" s="42"/>
      <c r="AG35" s="46">
        <f t="shared" si="19"/>
        <v>3488</v>
      </c>
      <c r="AH35" s="46">
        <f t="shared" si="47"/>
        <v>2912</v>
      </c>
      <c r="AI35" s="42"/>
      <c r="AJ35" s="42"/>
      <c r="AK35" s="42"/>
      <c r="AL35" s="42"/>
      <c r="AM35" s="42"/>
      <c r="AN35" s="42"/>
      <c r="AO35" s="42">
        <f t="shared" si="20"/>
        <v>0</v>
      </c>
      <c r="AP35" s="42"/>
      <c r="AQ35" s="42"/>
      <c r="AR35" s="42">
        <f t="shared" si="48"/>
        <v>0</v>
      </c>
      <c r="AS35" s="42"/>
      <c r="AT35" s="42"/>
      <c r="AU35" s="42"/>
      <c r="AV35" s="42">
        <f>SUM(AT35*AU35)</f>
        <v>0</v>
      </c>
      <c r="AW35" s="42">
        <f t="shared" si="53"/>
        <v>0</v>
      </c>
      <c r="AX35" s="42">
        <v>1</v>
      </c>
      <c r="AY35" s="42">
        <v>1600</v>
      </c>
      <c r="AZ35" s="42">
        <f t="shared" si="21"/>
        <v>1600</v>
      </c>
      <c r="BA35" s="46">
        <f t="shared" si="0"/>
        <v>640</v>
      </c>
      <c r="BB35" s="46">
        <f t="shared" si="1"/>
        <v>2240</v>
      </c>
      <c r="BC35" s="46">
        <f t="shared" si="22"/>
        <v>1600</v>
      </c>
      <c r="BD35" s="42">
        <v>1</v>
      </c>
      <c r="BE35" s="42">
        <v>1888</v>
      </c>
      <c r="BF35" s="42">
        <f t="shared" si="2"/>
        <v>1888</v>
      </c>
      <c r="BG35" s="46">
        <f>SUM(BF35*14%)</f>
        <v>264.32000000000005</v>
      </c>
      <c r="BH35" s="42"/>
      <c r="BI35" s="46">
        <f t="shared" si="49"/>
        <v>2152.32</v>
      </c>
      <c r="BJ35" s="46">
        <f t="shared" si="50"/>
        <v>1312</v>
      </c>
      <c r="BK35" s="42"/>
      <c r="BL35" s="42"/>
      <c r="BM35" s="42">
        <f t="shared" si="3"/>
        <v>0</v>
      </c>
      <c r="BN35" s="42">
        <f t="shared" si="4"/>
        <v>0</v>
      </c>
      <c r="BO35" s="42"/>
      <c r="BP35" s="42">
        <f t="shared" si="5"/>
        <v>0</v>
      </c>
      <c r="BQ35" s="42"/>
      <c r="BR35" s="42"/>
      <c r="BS35" s="42"/>
      <c r="BT35" s="42"/>
      <c r="BU35" s="42">
        <f t="shared" si="6"/>
        <v>0</v>
      </c>
      <c r="BV35" s="42"/>
      <c r="BW35" s="42"/>
      <c r="BX35" s="42"/>
      <c r="BY35" s="42"/>
      <c r="BZ35" s="42">
        <f t="shared" si="25"/>
        <v>0</v>
      </c>
      <c r="CA35" s="42"/>
      <c r="CB35" s="42">
        <v>2</v>
      </c>
      <c r="CC35" s="42">
        <v>1744</v>
      </c>
      <c r="CD35" s="42">
        <f t="shared" si="26"/>
        <v>3488</v>
      </c>
      <c r="CE35" s="42">
        <f t="shared" si="36"/>
        <v>348.8</v>
      </c>
      <c r="CF35" s="42">
        <f t="shared" si="27"/>
        <v>3836.8</v>
      </c>
      <c r="CG35" s="42">
        <f t="shared" si="51"/>
        <v>2912</v>
      </c>
      <c r="CH35" s="42"/>
      <c r="CI35" s="42"/>
      <c r="CJ35" s="42">
        <f t="shared" si="28"/>
        <v>0</v>
      </c>
      <c r="CK35" s="42">
        <f t="shared" si="29"/>
        <v>0</v>
      </c>
      <c r="CL35" s="42">
        <f t="shared" si="30"/>
        <v>0</v>
      </c>
      <c r="CM35" s="42"/>
      <c r="CN35" s="42"/>
      <c r="CO35" s="42"/>
      <c r="CP35" s="42">
        <f t="shared" si="31"/>
        <v>0</v>
      </c>
      <c r="CQ35" s="42">
        <f t="shared" si="32"/>
        <v>0</v>
      </c>
      <c r="CR35" s="42">
        <f t="shared" si="33"/>
        <v>0</v>
      </c>
      <c r="CS35" s="42"/>
      <c r="CT35" s="42"/>
      <c r="CU35" s="42"/>
      <c r="CV35" s="42"/>
      <c r="CW35" s="42">
        <f>E35+I35+M35+Q35+U35+Y35+AC35+AM35+AT35+AX35+BD35+BK35+BR35+BW35+CB35+CH35+CN35</f>
        <v>7</v>
      </c>
      <c r="CX35" s="46">
        <f t="shared" si="52"/>
        <v>23653.12</v>
      </c>
      <c r="CY35" s="58"/>
      <c r="CZ35" s="58"/>
      <c r="DA35" s="58"/>
      <c r="DB35" s="58"/>
      <c r="DC35" s="59"/>
      <c r="DD35" s="59"/>
      <c r="DE35" s="59"/>
      <c r="DF35" s="59"/>
      <c r="DG35" s="59"/>
      <c r="DH35" s="59"/>
      <c r="DI35" s="59"/>
      <c r="DJ35" s="59"/>
    </row>
    <row r="36" spans="1:114" s="12" customFormat="1" ht="45" customHeight="1">
      <c r="A36" s="45" t="s">
        <v>46</v>
      </c>
      <c r="B36" s="42">
        <v>4</v>
      </c>
      <c r="C36" s="42">
        <v>4</v>
      </c>
      <c r="D36" s="42">
        <v>36</v>
      </c>
      <c r="E36" s="42"/>
      <c r="F36" s="42"/>
      <c r="G36" s="42">
        <f>SUM(E36*F36)</f>
        <v>0</v>
      </c>
      <c r="H36" s="42"/>
      <c r="I36" s="42"/>
      <c r="J36" s="42"/>
      <c r="K36" s="42">
        <f t="shared" si="15"/>
        <v>0</v>
      </c>
      <c r="L36" s="42"/>
      <c r="M36" s="42"/>
      <c r="N36" s="42"/>
      <c r="O36" s="42">
        <f t="shared" si="16"/>
        <v>0</v>
      </c>
      <c r="P36" s="42"/>
      <c r="Q36" s="42"/>
      <c r="R36" s="42"/>
      <c r="S36" s="46">
        <f t="shared" si="43"/>
        <v>0</v>
      </c>
      <c r="T36" s="46"/>
      <c r="U36" s="42"/>
      <c r="V36" s="42"/>
      <c r="W36" s="42">
        <f>SUM(U36*V36)</f>
        <v>0</v>
      </c>
      <c r="X36" s="42"/>
      <c r="Y36" s="42">
        <v>1</v>
      </c>
      <c r="Z36" s="42">
        <v>1888</v>
      </c>
      <c r="AA36" s="46">
        <f t="shared" si="44"/>
        <v>1888</v>
      </c>
      <c r="AB36" s="46">
        <f t="shared" si="45"/>
        <v>1312</v>
      </c>
      <c r="AC36" s="42">
        <v>3</v>
      </c>
      <c r="AD36" s="42">
        <v>1744</v>
      </c>
      <c r="AE36" s="42">
        <f t="shared" si="46"/>
        <v>5232</v>
      </c>
      <c r="AF36" s="46">
        <f>(AC36*AD36)*10%</f>
        <v>523.2</v>
      </c>
      <c r="AG36" s="46">
        <f>SUM(AC36*AD36)+AF36</f>
        <v>5755.2</v>
      </c>
      <c r="AH36" s="46">
        <f t="shared" si="47"/>
        <v>3844.8</v>
      </c>
      <c r="AI36" s="42"/>
      <c r="AJ36" s="42"/>
      <c r="AK36" s="42"/>
      <c r="AL36" s="42"/>
      <c r="AM36" s="42"/>
      <c r="AN36" s="42"/>
      <c r="AO36" s="42">
        <f t="shared" si="20"/>
        <v>0</v>
      </c>
      <c r="AP36" s="42"/>
      <c r="AQ36" s="42"/>
      <c r="AR36" s="42">
        <f t="shared" si="48"/>
        <v>0</v>
      </c>
      <c r="AS36" s="42"/>
      <c r="AT36" s="42"/>
      <c r="AU36" s="42"/>
      <c r="AV36" s="42">
        <f>SUM(AT36*AU36)</f>
        <v>0</v>
      </c>
      <c r="AW36" s="42">
        <f t="shared" si="53"/>
        <v>0</v>
      </c>
      <c r="AX36" s="42">
        <v>1</v>
      </c>
      <c r="AY36" s="42">
        <v>1600</v>
      </c>
      <c r="AZ36" s="42">
        <f t="shared" si="21"/>
        <v>1600</v>
      </c>
      <c r="BA36" s="46">
        <f t="shared" si="0"/>
        <v>640</v>
      </c>
      <c r="BB36" s="46">
        <f t="shared" si="1"/>
        <v>2240</v>
      </c>
      <c r="BC36" s="46">
        <f t="shared" si="22"/>
        <v>1600</v>
      </c>
      <c r="BD36" s="42">
        <v>1</v>
      </c>
      <c r="BE36" s="42">
        <v>1888</v>
      </c>
      <c r="BF36" s="42">
        <f t="shared" si="2"/>
        <v>1888</v>
      </c>
      <c r="BG36" s="46">
        <f>SUM(BF36*14%)</f>
        <v>264.32000000000005</v>
      </c>
      <c r="BH36" s="42"/>
      <c r="BI36" s="46">
        <f t="shared" si="49"/>
        <v>2152.32</v>
      </c>
      <c r="BJ36" s="46">
        <f t="shared" si="50"/>
        <v>1312</v>
      </c>
      <c r="BK36" s="42"/>
      <c r="BL36" s="42"/>
      <c r="BM36" s="42">
        <f t="shared" si="3"/>
        <v>0</v>
      </c>
      <c r="BN36" s="42">
        <f t="shared" si="4"/>
        <v>0</v>
      </c>
      <c r="BO36" s="42"/>
      <c r="BP36" s="42">
        <f t="shared" si="5"/>
        <v>0</v>
      </c>
      <c r="BQ36" s="42"/>
      <c r="BR36" s="42"/>
      <c r="BS36" s="42"/>
      <c r="BT36" s="42"/>
      <c r="BU36" s="42">
        <f t="shared" si="6"/>
        <v>0</v>
      </c>
      <c r="BV36" s="42"/>
      <c r="BW36" s="42"/>
      <c r="BX36" s="42"/>
      <c r="BY36" s="42"/>
      <c r="BZ36" s="42">
        <f t="shared" si="25"/>
        <v>0</v>
      </c>
      <c r="CA36" s="42"/>
      <c r="CB36" s="42">
        <v>2.5</v>
      </c>
      <c r="CC36" s="42">
        <v>1744</v>
      </c>
      <c r="CD36" s="42">
        <f t="shared" si="26"/>
        <v>4360</v>
      </c>
      <c r="CE36" s="46">
        <f t="shared" si="36"/>
        <v>436</v>
      </c>
      <c r="CF36" s="42">
        <f t="shared" si="27"/>
        <v>4796</v>
      </c>
      <c r="CG36" s="42">
        <f t="shared" si="51"/>
        <v>3640</v>
      </c>
      <c r="CH36" s="42"/>
      <c r="CI36" s="42"/>
      <c r="CJ36" s="42">
        <f t="shared" si="28"/>
        <v>0</v>
      </c>
      <c r="CK36" s="42">
        <f t="shared" si="29"/>
        <v>0</v>
      </c>
      <c r="CL36" s="42">
        <f t="shared" si="30"/>
        <v>0</v>
      </c>
      <c r="CM36" s="42"/>
      <c r="CN36" s="42"/>
      <c r="CO36" s="42"/>
      <c r="CP36" s="42">
        <f t="shared" si="31"/>
        <v>0</v>
      </c>
      <c r="CQ36" s="42">
        <f t="shared" si="32"/>
        <v>0</v>
      </c>
      <c r="CR36" s="42">
        <f t="shared" si="33"/>
        <v>0</v>
      </c>
      <c r="CS36" s="42"/>
      <c r="CT36" s="42"/>
      <c r="CU36" s="42"/>
      <c r="CV36" s="42"/>
      <c r="CW36" s="42">
        <f>E36+I36+M36+Q36+U36+Y36+AC36+AM36+AT36+AX36+BD36+BK36+BR36+BW36+CB36+CH36+CN36</f>
        <v>8.5</v>
      </c>
      <c r="CX36" s="46">
        <f t="shared" si="52"/>
        <v>28540.32</v>
      </c>
      <c r="CY36" s="58"/>
      <c r="CZ36" s="58"/>
      <c r="DA36" s="58"/>
      <c r="DB36" s="58"/>
      <c r="DC36" s="59"/>
      <c r="DD36" s="59"/>
      <c r="DE36" s="59"/>
      <c r="DF36" s="59"/>
      <c r="DG36" s="59"/>
      <c r="DH36" s="59"/>
      <c r="DI36" s="59"/>
      <c r="DJ36" s="59"/>
    </row>
    <row r="37" spans="1:114" s="4" customFormat="1" ht="45" customHeight="1">
      <c r="A37" s="43" t="s">
        <v>47</v>
      </c>
      <c r="B37" s="44">
        <f>SUM(B22:B36)</f>
        <v>110</v>
      </c>
      <c r="C37" s="44">
        <f>SUM(C22:C36)</f>
        <v>111</v>
      </c>
      <c r="D37" s="44">
        <f>SUM(D22:D36)</f>
        <v>1448</v>
      </c>
      <c r="E37" s="44">
        <f aca="true" t="shared" si="61" ref="E37:CH37">SUM(E22:E36)</f>
        <v>9</v>
      </c>
      <c r="F37" s="44"/>
      <c r="G37" s="70">
        <f t="shared" si="61"/>
        <v>23616</v>
      </c>
      <c r="H37" s="70">
        <f t="shared" si="61"/>
        <v>5184</v>
      </c>
      <c r="I37" s="44">
        <f t="shared" si="61"/>
        <v>3</v>
      </c>
      <c r="J37" s="44"/>
      <c r="K37" s="70">
        <f t="shared" si="61"/>
        <v>6528</v>
      </c>
      <c r="L37" s="70">
        <f t="shared" si="61"/>
        <v>3072</v>
      </c>
      <c r="M37" s="44">
        <f t="shared" si="61"/>
        <v>3</v>
      </c>
      <c r="N37" s="44"/>
      <c r="O37" s="70">
        <f t="shared" si="61"/>
        <v>6096</v>
      </c>
      <c r="P37" s="70">
        <f t="shared" si="61"/>
        <v>3504</v>
      </c>
      <c r="Q37" s="44">
        <f t="shared" si="61"/>
        <v>10.5</v>
      </c>
      <c r="R37" s="44"/>
      <c r="S37" s="70">
        <f t="shared" si="61"/>
        <v>18312</v>
      </c>
      <c r="T37" s="70">
        <f t="shared" si="61"/>
        <v>15288</v>
      </c>
      <c r="U37" s="44">
        <f t="shared" si="61"/>
        <v>2.5</v>
      </c>
      <c r="V37" s="44"/>
      <c r="W37" s="70">
        <f t="shared" si="61"/>
        <v>4000</v>
      </c>
      <c r="X37" s="70">
        <f t="shared" si="61"/>
        <v>4000</v>
      </c>
      <c r="Y37" s="44">
        <f t="shared" si="61"/>
        <v>12</v>
      </c>
      <c r="Z37" s="44"/>
      <c r="AA37" s="70">
        <f t="shared" si="61"/>
        <v>22656</v>
      </c>
      <c r="AB37" s="70">
        <f t="shared" si="61"/>
        <v>15744</v>
      </c>
      <c r="AC37" s="44">
        <f t="shared" si="61"/>
        <v>30</v>
      </c>
      <c r="AD37" s="44"/>
      <c r="AE37" s="44">
        <f t="shared" si="61"/>
        <v>52320</v>
      </c>
      <c r="AF37" s="70">
        <f t="shared" si="61"/>
        <v>1046.4</v>
      </c>
      <c r="AG37" s="70">
        <f t="shared" si="61"/>
        <v>53366.399999999994</v>
      </c>
      <c r="AH37" s="70">
        <f t="shared" si="61"/>
        <v>42633.600000000006</v>
      </c>
      <c r="AI37" s="44">
        <f t="shared" si="61"/>
        <v>0</v>
      </c>
      <c r="AJ37" s="44"/>
      <c r="AK37" s="44">
        <f t="shared" si="61"/>
        <v>0</v>
      </c>
      <c r="AL37" s="44"/>
      <c r="AM37" s="44">
        <f t="shared" si="61"/>
        <v>3</v>
      </c>
      <c r="AN37" s="44"/>
      <c r="AO37" s="44">
        <f>AO25+AO30</f>
        <v>5664</v>
      </c>
      <c r="AP37" s="70">
        <f>AP25+AP30</f>
        <v>1416</v>
      </c>
      <c r="AQ37" s="44">
        <f>SUM(AQ22:AQ36)</f>
        <v>0</v>
      </c>
      <c r="AR37" s="70">
        <f t="shared" si="61"/>
        <v>7080</v>
      </c>
      <c r="AS37" s="70">
        <f t="shared" si="61"/>
        <v>3936</v>
      </c>
      <c r="AT37" s="44">
        <f t="shared" si="61"/>
        <v>1.5</v>
      </c>
      <c r="AU37" s="44"/>
      <c r="AV37" s="44">
        <f t="shared" si="61"/>
        <v>2400</v>
      </c>
      <c r="AW37" s="44">
        <f t="shared" si="61"/>
        <v>2400</v>
      </c>
      <c r="AX37" s="44">
        <f t="shared" si="61"/>
        <v>14</v>
      </c>
      <c r="AY37" s="44"/>
      <c r="AZ37" s="70">
        <f>SUM(AZ22:AZ36)</f>
        <v>22400</v>
      </c>
      <c r="BA37" s="70">
        <f>SUM(BA22:BA36)</f>
        <v>8960</v>
      </c>
      <c r="BB37" s="70">
        <f t="shared" si="61"/>
        <v>31360</v>
      </c>
      <c r="BC37" s="70">
        <f t="shared" si="61"/>
        <v>22400</v>
      </c>
      <c r="BD37" s="44">
        <f>SUM(BD22:BD36)</f>
        <v>15.75</v>
      </c>
      <c r="BE37" s="44"/>
      <c r="BF37" s="44">
        <f>SUM(BF22:BF36)</f>
        <v>29736</v>
      </c>
      <c r="BG37" s="44">
        <f>SUM(BG22:BG36)</f>
        <v>4144.160000000001</v>
      </c>
      <c r="BH37" s="44"/>
      <c r="BI37" s="70">
        <f t="shared" si="61"/>
        <v>33880.16</v>
      </c>
      <c r="BJ37" s="70">
        <f t="shared" si="61"/>
        <v>20664</v>
      </c>
      <c r="BK37" s="44">
        <f t="shared" si="61"/>
        <v>6</v>
      </c>
      <c r="BL37" s="44"/>
      <c r="BM37" s="44">
        <f>SUM(BM22:BM36)</f>
        <v>10464</v>
      </c>
      <c r="BN37" s="70">
        <f>SUM(BN22:BN36)</f>
        <v>1046.4</v>
      </c>
      <c r="BO37" s="44"/>
      <c r="BP37" s="70">
        <f t="shared" si="61"/>
        <v>11510.400000000001</v>
      </c>
      <c r="BQ37" s="70">
        <f t="shared" si="61"/>
        <v>8736</v>
      </c>
      <c r="BR37" s="44">
        <f t="shared" si="61"/>
        <v>2.5</v>
      </c>
      <c r="BS37" s="44">
        <f>BS25+BS29</f>
        <v>3488</v>
      </c>
      <c r="BT37" s="44"/>
      <c r="BU37" s="44">
        <f t="shared" si="61"/>
        <v>4360</v>
      </c>
      <c r="BV37" s="44">
        <f t="shared" si="61"/>
        <v>3640</v>
      </c>
      <c r="BW37" s="44">
        <f t="shared" si="61"/>
        <v>1</v>
      </c>
      <c r="BX37" s="44">
        <f t="shared" si="61"/>
        <v>1936</v>
      </c>
      <c r="BY37" s="70">
        <f t="shared" si="61"/>
        <v>0</v>
      </c>
      <c r="BZ37" s="70">
        <f t="shared" si="61"/>
        <v>1936</v>
      </c>
      <c r="CA37" s="70">
        <f t="shared" si="61"/>
        <v>1264</v>
      </c>
      <c r="CB37" s="44">
        <f t="shared" si="61"/>
        <v>41</v>
      </c>
      <c r="CC37" s="44"/>
      <c r="CD37" s="44">
        <f>SUM(CD22:CD36)</f>
        <v>71504</v>
      </c>
      <c r="CE37" s="70">
        <f>SUM(CE22:CE36)</f>
        <v>7150.400000000001</v>
      </c>
      <c r="CF37" s="70">
        <f t="shared" si="61"/>
        <v>78654.40000000001</v>
      </c>
      <c r="CG37" s="70">
        <f t="shared" si="61"/>
        <v>59696</v>
      </c>
      <c r="CH37" s="44">
        <f t="shared" si="61"/>
        <v>0.5</v>
      </c>
      <c r="CI37" s="44"/>
      <c r="CJ37" s="44">
        <f>SUM(CJ22:CJ36)</f>
        <v>872</v>
      </c>
      <c r="CK37" s="44">
        <f>SUM(CK22:CK36)</f>
        <v>104.64</v>
      </c>
      <c r="CL37" s="44">
        <f>SUM(CL22:CL36)</f>
        <v>976.64</v>
      </c>
      <c r="CM37" s="44">
        <f>SUM(CM22:CM36)</f>
        <v>728</v>
      </c>
      <c r="CN37" s="44">
        <f>SUM(CN22:CN36)</f>
        <v>2.15</v>
      </c>
      <c r="CO37" s="44"/>
      <c r="CP37" s="44">
        <f aca="true" t="shared" si="62" ref="CP37:CW37">SUM(CP22:CP36)</f>
        <v>4988</v>
      </c>
      <c r="CQ37" s="44">
        <f t="shared" si="62"/>
        <v>498.8</v>
      </c>
      <c r="CR37" s="44">
        <f t="shared" si="62"/>
        <v>5486.8</v>
      </c>
      <c r="CS37" s="44">
        <f t="shared" si="62"/>
        <v>1891.9999999999995</v>
      </c>
      <c r="CT37" s="44">
        <f t="shared" si="62"/>
        <v>0</v>
      </c>
      <c r="CU37" s="44">
        <f t="shared" si="62"/>
        <v>0</v>
      </c>
      <c r="CV37" s="44">
        <f t="shared" si="62"/>
        <v>0</v>
      </c>
      <c r="CW37" s="44">
        <f t="shared" si="62"/>
        <v>157.4</v>
      </c>
      <c r="CX37" s="70">
        <f>CX22+CX23+CX24+CX25+CX26+CX27+CX28+CX29+CX30+CX31+CX32+CX33+CX34+CX35+CX36</f>
        <v>527000.3999999999</v>
      </c>
      <c r="CY37" s="58"/>
      <c r="CZ37" s="58"/>
      <c r="DA37" s="58"/>
      <c r="DB37" s="58"/>
      <c r="DC37" s="59"/>
      <c r="DD37" s="59"/>
      <c r="DE37" s="60"/>
      <c r="DF37" s="60"/>
      <c r="DG37" s="60"/>
      <c r="DH37" s="60"/>
      <c r="DI37" s="60"/>
      <c r="DJ37" s="60"/>
    </row>
    <row r="38" spans="1:106" ht="45" customHeight="1">
      <c r="A38" s="47" t="s">
        <v>48</v>
      </c>
      <c r="B38" s="48">
        <f aca="true" t="shared" si="63" ref="B38:Q38">SUM(B7+B16+B21+B37)</f>
        <v>196</v>
      </c>
      <c r="C38" s="48">
        <f t="shared" si="63"/>
        <v>199</v>
      </c>
      <c r="D38" s="48">
        <f t="shared" si="63"/>
        <v>2986</v>
      </c>
      <c r="E38" s="48">
        <f t="shared" si="63"/>
        <v>13</v>
      </c>
      <c r="F38" s="48">
        <f t="shared" si="63"/>
        <v>0</v>
      </c>
      <c r="G38" s="71">
        <f>SUM(G7+G16+G21+G37)</f>
        <v>34112</v>
      </c>
      <c r="H38" s="71">
        <f>SUM(H7+H16+H21+H37)</f>
        <v>7488</v>
      </c>
      <c r="I38" s="48">
        <f t="shared" si="63"/>
        <v>5.5</v>
      </c>
      <c r="J38" s="48">
        <f t="shared" si="63"/>
        <v>0</v>
      </c>
      <c r="K38" s="71">
        <f t="shared" si="63"/>
        <v>11968</v>
      </c>
      <c r="L38" s="71">
        <f t="shared" si="63"/>
        <v>5632</v>
      </c>
      <c r="M38" s="48">
        <f t="shared" si="63"/>
        <v>4.5</v>
      </c>
      <c r="N38" s="48">
        <f t="shared" si="63"/>
        <v>0</v>
      </c>
      <c r="O38" s="71">
        <f t="shared" si="63"/>
        <v>9144</v>
      </c>
      <c r="P38" s="71">
        <f t="shared" si="63"/>
        <v>5256</v>
      </c>
      <c r="Q38" s="48">
        <f t="shared" si="63"/>
        <v>17.5</v>
      </c>
      <c r="R38" s="48"/>
      <c r="S38" s="71">
        <f>SUM(S7+S16+S21+S37)</f>
        <v>30520</v>
      </c>
      <c r="T38" s="71">
        <f>SUM(T7+T16+T21+T37)</f>
        <v>25480</v>
      </c>
      <c r="U38" s="48">
        <f>SUM(U7+U16+U21+U37)</f>
        <v>7</v>
      </c>
      <c r="V38" s="48"/>
      <c r="W38" s="71">
        <f>SUM(W7+W16+W21+W37)</f>
        <v>11200</v>
      </c>
      <c r="X38" s="71">
        <f>SUM(X7+X16+X21+X37)</f>
        <v>11200</v>
      </c>
      <c r="Y38" s="48">
        <f>SUM(Y7+Y16+Y21+Y37)</f>
        <v>20</v>
      </c>
      <c r="Z38" s="48"/>
      <c r="AA38" s="71">
        <f>SUM(AA7+AA16+AA21+AA37)</f>
        <v>37760</v>
      </c>
      <c r="AB38" s="71">
        <f>SUM(AB7+AB16+AB21+AB37)</f>
        <v>26240</v>
      </c>
      <c r="AC38" s="48">
        <f>SUM(AC7+AC16+AC21+AC37)</f>
        <v>54</v>
      </c>
      <c r="AD38" s="48"/>
      <c r="AE38" s="48">
        <f aca="true" t="shared" si="64" ref="AE38:AM38">SUM(AE7+AE16+AE21+AE37)</f>
        <v>94176</v>
      </c>
      <c r="AF38" s="71">
        <f t="shared" si="64"/>
        <v>1744</v>
      </c>
      <c r="AG38" s="71">
        <f t="shared" si="64"/>
        <v>95920</v>
      </c>
      <c r="AH38" s="71">
        <f t="shared" si="64"/>
        <v>77577.6</v>
      </c>
      <c r="AI38" s="48">
        <f t="shared" si="64"/>
        <v>1</v>
      </c>
      <c r="AJ38" s="48"/>
      <c r="AK38" s="48">
        <f t="shared" si="64"/>
        <v>1744</v>
      </c>
      <c r="AL38" s="48">
        <f t="shared" si="64"/>
        <v>1456</v>
      </c>
      <c r="AM38" s="48">
        <f t="shared" si="64"/>
        <v>6</v>
      </c>
      <c r="AN38" s="48"/>
      <c r="AO38" s="48">
        <f>AO16+AO37+AO21</f>
        <v>11328</v>
      </c>
      <c r="AP38" s="48">
        <f>AP16+AP37+AP21</f>
        <v>2832</v>
      </c>
      <c r="AQ38" s="48">
        <f>AQ16+AQ37+AQ21</f>
        <v>0</v>
      </c>
      <c r="AR38" s="71">
        <f>AR16+AR37+AR21</f>
        <v>14160</v>
      </c>
      <c r="AS38" s="71">
        <f>AS16+AS37+AS21</f>
        <v>7872</v>
      </c>
      <c r="AT38" s="48">
        <f>SUM(AT7+AT16+AT21+AT37)</f>
        <v>2.5</v>
      </c>
      <c r="AU38" s="48"/>
      <c r="AV38" s="48">
        <f>SUM(AV7+AV16+AV21+AV37)</f>
        <v>4000</v>
      </c>
      <c r="AW38" s="48">
        <f>SUM(AW7+AW16+AW21+AW37)</f>
        <v>4000</v>
      </c>
      <c r="AX38" s="48">
        <f>SUM(AX7+AX16+AX21+AX37)</f>
        <v>27</v>
      </c>
      <c r="AY38" s="48"/>
      <c r="AZ38" s="71">
        <f>SUM(AZ7+AZ16+AZ21+AZ37)</f>
        <v>43200</v>
      </c>
      <c r="BA38" s="71">
        <f>SUM(BA7+BA16+BA21+BA37)</f>
        <v>17280</v>
      </c>
      <c r="BB38" s="71">
        <f>SUM(BB7+BB16+BB21+BB37)</f>
        <v>60480</v>
      </c>
      <c r="BC38" s="71">
        <f>SUM(BC7+BC16+BC21+BC37)</f>
        <v>43200</v>
      </c>
      <c r="BD38" s="48">
        <f>SUM(BD7+BD16+BD21+BD37)</f>
        <v>27.5</v>
      </c>
      <c r="BE38" s="48"/>
      <c r="BF38" s="71">
        <f aca="true" t="shared" si="65" ref="BF38:BK38">SUM(BF7+BF16+BF21+BF37)</f>
        <v>51920</v>
      </c>
      <c r="BG38" s="48">
        <f t="shared" si="65"/>
        <v>7249.920000000001</v>
      </c>
      <c r="BH38" s="71">
        <f t="shared" si="65"/>
        <v>0</v>
      </c>
      <c r="BI38" s="48">
        <f t="shared" si="65"/>
        <v>59169.920000000006</v>
      </c>
      <c r="BJ38" s="48">
        <f t="shared" si="65"/>
        <v>36080</v>
      </c>
      <c r="BK38" s="48">
        <f t="shared" si="65"/>
        <v>9</v>
      </c>
      <c r="BL38" s="48"/>
      <c r="BM38" s="48">
        <f>SUM(BM7+BM16+BM21+BM37)</f>
        <v>15696</v>
      </c>
      <c r="BN38" s="71">
        <f>SUM(BN7+BN16+BN21+BN37)</f>
        <v>1569.6000000000001</v>
      </c>
      <c r="BO38" s="71">
        <f>BO16+BO21+BO37</f>
        <v>0</v>
      </c>
      <c r="BP38" s="71">
        <f>SUM(BP7+BP16+BP21+BP37)</f>
        <v>17265.600000000002</v>
      </c>
      <c r="BQ38" s="71">
        <f>SUM(BQ7+BQ16+BQ21+BQ37)</f>
        <v>13104</v>
      </c>
      <c r="BR38" s="48">
        <f>SUM(BR7+BR16+BR21+BR37)</f>
        <v>3.5</v>
      </c>
      <c r="BS38" s="75">
        <f>BS21+BS37</f>
        <v>5232</v>
      </c>
      <c r="BT38" s="71">
        <f>SUM(BT21:BT37)</f>
        <v>0</v>
      </c>
      <c r="BU38" s="71">
        <f>SUM(BU7+BU16+BU21+BU37)</f>
        <v>6104</v>
      </c>
      <c r="BV38" s="71">
        <f>SUM(BV7+BV16+BV21+BV37)</f>
        <v>5096</v>
      </c>
      <c r="BW38" s="48">
        <f>SUM(BW7+BW16+BW21+BW37)</f>
        <v>2</v>
      </c>
      <c r="BX38" s="48">
        <f>SUM(BX7+BX16+BX21+BX37)</f>
        <v>3872</v>
      </c>
      <c r="BY38" s="48"/>
      <c r="BZ38" s="71">
        <f>SUM(BZ7+BZ16+BZ21+BZ37)</f>
        <v>3872</v>
      </c>
      <c r="CA38" s="71">
        <f>SUM(CA7+CA16+CA21+CA37)</f>
        <v>2528</v>
      </c>
      <c r="CB38" s="48">
        <f>SUM(CB7+CB16+CB21+CB37)</f>
        <v>71.5</v>
      </c>
      <c r="CC38" s="48"/>
      <c r="CD38" s="48">
        <f>SUM(CD7+CD16+CD21+CD37)</f>
        <v>124696</v>
      </c>
      <c r="CE38" s="48">
        <f>SUM(CE7+CE16+CE21+CE37)</f>
        <v>12469.600000000002</v>
      </c>
      <c r="CF38" s="71">
        <f>SUM(CF7+CF16+CF21+CF37)</f>
        <v>137165.6</v>
      </c>
      <c r="CG38" s="71">
        <f>SUM(CG7+CG16+CG21+CG37)</f>
        <v>104104</v>
      </c>
      <c r="CH38" s="48">
        <f>SUM(CH7+CH16+CH21+CH37)</f>
        <v>1</v>
      </c>
      <c r="CI38" s="48"/>
      <c r="CJ38" s="48">
        <f>SUM(CJ7+CJ16+CJ21+CJ37)</f>
        <v>1744</v>
      </c>
      <c r="CK38" s="48">
        <f>SUM(CK7+CK16+CK21+CK37)</f>
        <v>209.28</v>
      </c>
      <c r="CL38" s="48">
        <f>SUM(CL7+CL16+CL21+CL37)</f>
        <v>1953.28</v>
      </c>
      <c r="CM38" s="48">
        <f>SUM(CM7+CM16+CM21+CM37)</f>
        <v>1456</v>
      </c>
      <c r="CN38" s="48">
        <f>SUM(CN7+CN16+CN21+CN37)</f>
        <v>4.3</v>
      </c>
      <c r="CO38" s="48"/>
      <c r="CP38" s="48">
        <f aca="true" t="shared" si="66" ref="CP38:CW38">SUM(CP7+CP16+CP21+CP37)</f>
        <v>9976</v>
      </c>
      <c r="CQ38" s="48">
        <f t="shared" si="66"/>
        <v>997.6</v>
      </c>
      <c r="CR38" s="48">
        <f t="shared" si="66"/>
        <v>10973.6</v>
      </c>
      <c r="CS38" s="48">
        <f t="shared" si="66"/>
        <v>3783.999999999999</v>
      </c>
      <c r="CT38" s="48">
        <f t="shared" si="66"/>
        <v>1</v>
      </c>
      <c r="CU38" s="48">
        <f t="shared" si="66"/>
        <v>2464</v>
      </c>
      <c r="CV38" s="48">
        <f t="shared" si="66"/>
        <v>736</v>
      </c>
      <c r="CW38" s="48">
        <f t="shared" si="66"/>
        <v>277.8</v>
      </c>
      <c r="CX38" s="71">
        <f>CX7+CX16+CX21+CX37</f>
        <v>932265.5999999999</v>
      </c>
      <c r="CY38" s="58"/>
      <c r="CZ38" s="58"/>
      <c r="DA38" s="58"/>
      <c r="DB38" s="57"/>
    </row>
    <row r="39" spans="1:102" ht="36" customHeight="1">
      <c r="A39" s="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Z39" s="41"/>
      <c r="AA39" s="41"/>
      <c r="AB39" s="41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</row>
    <row r="40" spans="1:102" ht="52.5" customHeight="1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1"/>
      <c r="Z40" s="11"/>
      <c r="AA40" s="11"/>
      <c r="AB40" s="11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33" customHeight="1">
      <c r="A41" s="2" t="s">
        <v>128</v>
      </c>
      <c r="B41" s="3"/>
      <c r="C41" s="3"/>
      <c r="D41" s="3"/>
      <c r="E41" s="3"/>
      <c r="F41" s="3"/>
      <c r="G41" s="3">
        <v>34112</v>
      </c>
      <c r="H41" s="3"/>
      <c r="I41" s="3"/>
      <c r="J41" s="3"/>
      <c r="K41" s="3">
        <v>9792</v>
      </c>
      <c r="L41" s="3"/>
      <c r="M41" s="3"/>
      <c r="N41" s="3"/>
      <c r="O41" s="3">
        <v>9144</v>
      </c>
      <c r="P41" s="3"/>
      <c r="Q41" s="3"/>
      <c r="R41" s="3"/>
      <c r="S41" s="3">
        <v>31392</v>
      </c>
      <c r="T41" s="3"/>
      <c r="U41" s="3"/>
      <c r="V41" s="3"/>
      <c r="W41" s="3">
        <v>8800</v>
      </c>
      <c r="X41" s="3"/>
      <c r="Y41" s="11"/>
      <c r="Z41" s="11"/>
      <c r="AA41" s="11">
        <v>37760</v>
      </c>
      <c r="AB41" s="11"/>
      <c r="AC41" s="3"/>
      <c r="AD41" s="3"/>
      <c r="AE41" s="3">
        <v>95920</v>
      </c>
      <c r="AF41" s="3"/>
      <c r="AG41" s="3"/>
      <c r="AH41" s="3"/>
      <c r="AI41" s="3"/>
      <c r="AJ41" s="3"/>
      <c r="AK41" s="3">
        <v>1744</v>
      </c>
      <c r="AL41" s="3"/>
      <c r="AM41" s="3"/>
      <c r="AN41" s="3"/>
      <c r="AO41" s="3">
        <v>9440</v>
      </c>
      <c r="AP41" s="3"/>
      <c r="AQ41" s="3"/>
      <c r="AR41" s="3"/>
      <c r="AS41" s="3"/>
      <c r="AT41" s="3"/>
      <c r="AU41" s="3"/>
      <c r="AV41" s="3">
        <v>4000</v>
      </c>
      <c r="AW41" s="3"/>
      <c r="AX41" s="3"/>
      <c r="AY41" s="3"/>
      <c r="AZ41" s="3">
        <v>44800</v>
      </c>
      <c r="BA41" s="3"/>
      <c r="BB41" s="3"/>
      <c r="BC41" s="3"/>
      <c r="BD41" s="3"/>
      <c r="BE41" s="3"/>
      <c r="BF41" s="3">
        <v>51920</v>
      </c>
      <c r="BG41" s="3"/>
      <c r="BH41" s="3"/>
      <c r="BI41" s="3"/>
      <c r="BJ41" s="3"/>
      <c r="BK41" s="3"/>
      <c r="BL41" s="3"/>
      <c r="BM41" s="3">
        <v>15696</v>
      </c>
      <c r="BN41" s="3"/>
      <c r="BO41" s="3"/>
      <c r="BP41" s="3"/>
      <c r="BQ41" s="3"/>
      <c r="BR41" s="3"/>
      <c r="BS41" s="3">
        <v>5232</v>
      </c>
      <c r="BT41" s="3"/>
      <c r="BU41" s="3"/>
      <c r="BV41" s="3"/>
      <c r="BW41" s="3"/>
      <c r="BX41" s="3">
        <v>3872</v>
      </c>
      <c r="BY41" s="3"/>
      <c r="BZ41" s="3"/>
      <c r="CA41" s="3"/>
      <c r="CB41" s="3"/>
      <c r="CC41" s="3"/>
      <c r="CD41" s="3">
        <v>124696</v>
      </c>
      <c r="CE41" s="3"/>
      <c r="CF41" s="3"/>
      <c r="CG41" s="3"/>
      <c r="CH41" s="3"/>
      <c r="CI41" s="3"/>
      <c r="CJ41" s="3">
        <v>1744</v>
      </c>
      <c r="CK41" s="3"/>
      <c r="CL41" s="3"/>
      <c r="CM41" s="3"/>
      <c r="CN41" s="3"/>
      <c r="CO41" s="3"/>
      <c r="CP41" s="3">
        <v>9976</v>
      </c>
      <c r="CQ41" s="3"/>
      <c r="CR41" s="3"/>
      <c r="CS41" s="3"/>
      <c r="CT41" s="3"/>
      <c r="CU41" s="3">
        <v>2464</v>
      </c>
      <c r="CV41" s="3"/>
      <c r="CW41" s="3"/>
      <c r="CX41" s="3">
        <f>G41+K41+O41+S41+W41+AA41+AE41+AO41+AV41+AZ41+BF41+BM41+BS41+BX41+CD41+CJ41+CP41+CU41+AK41</f>
        <v>502504</v>
      </c>
    </row>
    <row r="42" spans="1:102" ht="33" customHeight="1">
      <c r="A42" s="94">
        <v>0.1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1"/>
      <c r="Z42" s="11"/>
      <c r="AA42" s="11"/>
      <c r="AB42" s="11"/>
      <c r="AC42" s="3"/>
      <c r="AD42" s="3"/>
      <c r="AE42" s="3"/>
      <c r="AF42" s="3">
        <v>1744</v>
      </c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>
        <v>7249.92</v>
      </c>
      <c r="BH42" s="3"/>
      <c r="BI42" s="3"/>
      <c r="BJ42" s="3"/>
      <c r="BK42" s="3"/>
      <c r="BL42" s="3"/>
      <c r="BM42" s="3"/>
      <c r="BN42" s="3">
        <v>1569.6</v>
      </c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>
        <v>12469.6</v>
      </c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>
        <v>997.6</v>
      </c>
      <c r="CR42" s="3"/>
      <c r="CS42" s="3"/>
      <c r="CT42" s="3"/>
      <c r="CU42" s="3"/>
      <c r="CV42" s="3"/>
      <c r="CW42" s="3"/>
      <c r="CX42" s="3">
        <f>AF42+BG42+BN42+CE42+CQ42</f>
        <v>24030.72</v>
      </c>
    </row>
    <row r="43" spans="1:102" ht="33" customHeight="1">
      <c r="A43" s="94">
        <v>0.25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1"/>
      <c r="Z43" s="11"/>
      <c r="AA43" s="11"/>
      <c r="AB43" s="1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>
        <v>2360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>
        <f>AP43</f>
        <v>2360</v>
      </c>
    </row>
    <row r="44" spans="1:102" ht="33" customHeight="1">
      <c r="A44" s="94">
        <v>0.2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1"/>
      <c r="Z44" s="11"/>
      <c r="AA44" s="11"/>
      <c r="AB44" s="1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>
        <f>BH44+BO44+BT44</f>
        <v>0</v>
      </c>
    </row>
    <row r="45" spans="1:102" ht="33" customHeight="1">
      <c r="A45" s="94">
        <v>0.5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1"/>
      <c r="Z45" s="11"/>
      <c r="AA45" s="11"/>
      <c r="AB45" s="11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>
        <f>AQ45</f>
        <v>0</v>
      </c>
    </row>
    <row r="46" spans="1:102" ht="33" customHeight="1">
      <c r="A46" s="94">
        <v>0.4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1"/>
      <c r="Z46" s="11"/>
      <c r="AA46" s="11"/>
      <c r="AB46" s="11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>
        <v>17920</v>
      </c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>
        <f>BA46</f>
        <v>17920</v>
      </c>
    </row>
    <row r="47" spans="1:102" ht="33" customHeight="1">
      <c r="A47" s="94">
        <v>0.12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1"/>
      <c r="Z47" s="11"/>
      <c r="AA47" s="11"/>
      <c r="AB47" s="1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>
        <v>209.28</v>
      </c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>
        <f>CK47</f>
        <v>209.28</v>
      </c>
    </row>
    <row r="48" spans="1:102" ht="33" customHeight="1">
      <c r="A48" s="2" t="s">
        <v>143</v>
      </c>
      <c r="B48" s="3"/>
      <c r="C48" s="3"/>
      <c r="D48" s="3"/>
      <c r="E48" s="3"/>
      <c r="F48" s="3"/>
      <c r="G48" s="3">
        <f>SUM(G41:G47)</f>
        <v>34112</v>
      </c>
      <c r="H48" s="3"/>
      <c r="I48" s="3"/>
      <c r="J48" s="3"/>
      <c r="K48" s="3">
        <f>SUM(K41:K47)</f>
        <v>9792</v>
      </c>
      <c r="L48" s="3"/>
      <c r="M48" s="3"/>
      <c r="N48" s="3"/>
      <c r="O48" s="3">
        <f>SUM(O41:O47)</f>
        <v>9144</v>
      </c>
      <c r="P48" s="3"/>
      <c r="Q48" s="3"/>
      <c r="R48" s="3"/>
      <c r="S48" s="3">
        <f>SUM(S41:S47)</f>
        <v>31392</v>
      </c>
      <c r="T48" s="3"/>
      <c r="U48" s="3"/>
      <c r="V48" s="3"/>
      <c r="W48" s="3">
        <f>SUM(W41:W47)</f>
        <v>8800</v>
      </c>
      <c r="X48" s="3"/>
      <c r="Y48" s="11"/>
      <c r="Z48" s="11"/>
      <c r="AA48" s="3">
        <f>SUM(AA41:AA47)</f>
        <v>37760</v>
      </c>
      <c r="AB48" s="3"/>
      <c r="AC48" s="3"/>
      <c r="AD48" s="3"/>
      <c r="AE48" s="3">
        <f>SUM(AE41:AE47)</f>
        <v>95920</v>
      </c>
      <c r="AF48" s="3">
        <f>SUM(AF41:AF47)</f>
        <v>1744</v>
      </c>
      <c r="AG48" s="3"/>
      <c r="AH48" s="3"/>
      <c r="AI48" s="3"/>
      <c r="AJ48" s="3"/>
      <c r="AK48" s="3">
        <f>SUM(AK41:AK47)</f>
        <v>1744</v>
      </c>
      <c r="AL48" s="3"/>
      <c r="AM48" s="3"/>
      <c r="AN48" s="3"/>
      <c r="AO48" s="3">
        <f>SUM(AO41:AO47)</f>
        <v>9440</v>
      </c>
      <c r="AP48" s="3">
        <f>SUM(AP43:AP47)</f>
        <v>2360</v>
      </c>
      <c r="AQ48" s="3">
        <f>SUM(AQ45:AQ47)</f>
        <v>0</v>
      </c>
      <c r="AR48" s="3"/>
      <c r="AS48" s="3"/>
      <c r="AT48" s="3"/>
      <c r="AU48" s="3"/>
      <c r="AV48" s="3">
        <f>SUM(AV41:AV47)</f>
        <v>4000</v>
      </c>
      <c r="AW48" s="3"/>
      <c r="AX48" s="3"/>
      <c r="AY48" s="3"/>
      <c r="AZ48" s="3">
        <f>SUM(AZ41:AZ47)</f>
        <v>44800</v>
      </c>
      <c r="BA48" s="3">
        <f>SUM(BA46:BA47)</f>
        <v>17920</v>
      </c>
      <c r="BB48" s="3"/>
      <c r="BC48" s="3"/>
      <c r="BD48" s="3"/>
      <c r="BE48" s="3"/>
      <c r="BF48" s="3">
        <f>SUM(BF41:BF47)</f>
        <v>51920</v>
      </c>
      <c r="BG48" s="3">
        <f>SUM(BG42:BG47)</f>
        <v>7249.92</v>
      </c>
      <c r="BH48" s="3">
        <f>SUM(BH44:BH47)</f>
        <v>0</v>
      </c>
      <c r="BI48" s="3"/>
      <c r="BJ48" s="3"/>
      <c r="BK48" s="3"/>
      <c r="BL48" s="3"/>
      <c r="BM48" s="3">
        <f>SUM(BM41:BM47)</f>
        <v>15696</v>
      </c>
      <c r="BN48" s="3">
        <f>SUM(BN42:BN47)</f>
        <v>1569.6</v>
      </c>
      <c r="BO48" s="3">
        <f>SUM(BO44:BO47)</f>
        <v>0</v>
      </c>
      <c r="BP48" s="3"/>
      <c r="BQ48" s="3"/>
      <c r="BR48" s="3"/>
      <c r="BS48" s="3">
        <f>SUM(BS41:BS47)</f>
        <v>5232</v>
      </c>
      <c r="BT48" s="3">
        <f>SUM(BT44:BT47)</f>
        <v>0</v>
      </c>
      <c r="BU48" s="3"/>
      <c r="BV48" s="3"/>
      <c r="BW48" s="3"/>
      <c r="BX48" s="3">
        <f>SUM(BX41:BX47)</f>
        <v>3872</v>
      </c>
      <c r="BY48" s="3"/>
      <c r="BZ48" s="3"/>
      <c r="CA48" s="3"/>
      <c r="CB48" s="3"/>
      <c r="CC48" s="3"/>
      <c r="CD48" s="3">
        <f>SUM(CD41:CD47)</f>
        <v>124696</v>
      </c>
      <c r="CE48" s="3">
        <f>SUM(CE42:CE47)</f>
        <v>12469.6</v>
      </c>
      <c r="CF48" s="3"/>
      <c r="CG48" s="3"/>
      <c r="CH48" s="3"/>
      <c r="CI48" s="3"/>
      <c r="CJ48" s="3">
        <f>SUM(CJ41:CJ47)</f>
        <v>1744</v>
      </c>
      <c r="CK48" s="3">
        <f>SUM(CK47)</f>
        <v>209.28</v>
      </c>
      <c r="CL48" s="3"/>
      <c r="CM48" s="3"/>
      <c r="CN48" s="3"/>
      <c r="CO48" s="3"/>
      <c r="CP48" s="3">
        <f>SUM(CP41:CP47)</f>
        <v>9976</v>
      </c>
      <c r="CQ48" s="3">
        <f>SUM(CQ42:CQ47)</f>
        <v>997.6</v>
      </c>
      <c r="CR48" s="3"/>
      <c r="CS48" s="3"/>
      <c r="CT48" s="3"/>
      <c r="CU48" s="3">
        <f>SUM(CU41:CU47)</f>
        <v>2464</v>
      </c>
      <c r="CV48" s="3"/>
      <c r="CW48" s="3"/>
      <c r="CX48" s="40">
        <f>SUM(G48:CW48)</f>
        <v>547024</v>
      </c>
    </row>
    <row r="49" spans="1:102" ht="33" customHeight="1">
      <c r="A49" s="2" t="s">
        <v>150</v>
      </c>
      <c r="B49" s="3"/>
      <c r="C49" s="3"/>
      <c r="D49" s="3"/>
      <c r="E49" s="3"/>
      <c r="F49" s="3"/>
      <c r="G49" s="3"/>
      <c r="H49" s="3">
        <v>7488</v>
      </c>
      <c r="I49" s="3"/>
      <c r="J49" s="3"/>
      <c r="K49" s="3"/>
      <c r="L49" s="3">
        <v>4608</v>
      </c>
      <c r="M49" s="3"/>
      <c r="N49" s="3"/>
      <c r="O49" s="3"/>
      <c r="P49" s="3">
        <v>5256</v>
      </c>
      <c r="Q49" s="3"/>
      <c r="R49" s="3"/>
      <c r="S49" s="3"/>
      <c r="T49" s="3">
        <v>26208</v>
      </c>
      <c r="U49" s="3"/>
      <c r="V49" s="3"/>
      <c r="W49" s="3"/>
      <c r="X49" s="3">
        <v>10400</v>
      </c>
      <c r="Y49" s="11"/>
      <c r="Z49" s="11"/>
      <c r="AA49" s="11"/>
      <c r="AB49" s="11">
        <v>26240</v>
      </c>
      <c r="AC49" s="3"/>
      <c r="AD49" s="3"/>
      <c r="AE49" s="3"/>
      <c r="AF49" s="3"/>
      <c r="AG49" s="3"/>
      <c r="AH49" s="3">
        <v>79033.6</v>
      </c>
      <c r="AI49" s="3"/>
      <c r="AJ49" s="3"/>
      <c r="AK49" s="3"/>
      <c r="AL49" s="3">
        <v>1456</v>
      </c>
      <c r="AM49" s="3"/>
      <c r="AN49" s="3"/>
      <c r="AO49" s="3"/>
      <c r="AP49" s="3"/>
      <c r="AQ49" s="3"/>
      <c r="AR49" s="3"/>
      <c r="AS49" s="3">
        <v>6560</v>
      </c>
      <c r="AT49" s="3"/>
      <c r="AU49" s="3"/>
      <c r="AV49" s="3"/>
      <c r="AW49" s="3">
        <v>4000</v>
      </c>
      <c r="AX49" s="3"/>
      <c r="AY49" s="3"/>
      <c r="AZ49" s="3"/>
      <c r="BA49" s="3"/>
      <c r="BB49" s="3"/>
      <c r="BC49" s="3">
        <v>44800</v>
      </c>
      <c r="BD49" s="3"/>
      <c r="BE49" s="3"/>
      <c r="BF49" s="3"/>
      <c r="BG49" s="3"/>
      <c r="BH49" s="3"/>
      <c r="BI49" s="3"/>
      <c r="BJ49" s="3">
        <v>36080</v>
      </c>
      <c r="BK49" s="3"/>
      <c r="BL49" s="3"/>
      <c r="BM49" s="3"/>
      <c r="BN49" s="3"/>
      <c r="BO49" s="3"/>
      <c r="BP49" s="3"/>
      <c r="BQ49" s="3">
        <v>13104</v>
      </c>
      <c r="BR49" s="3"/>
      <c r="BS49" s="3"/>
      <c r="BT49" s="3"/>
      <c r="BU49" s="3"/>
      <c r="BV49" s="3">
        <v>4368</v>
      </c>
      <c r="BW49" s="3"/>
      <c r="BX49" s="3"/>
      <c r="BY49" s="3"/>
      <c r="BZ49" s="3"/>
      <c r="CA49" s="3">
        <v>2528</v>
      </c>
      <c r="CB49" s="3"/>
      <c r="CC49" s="3"/>
      <c r="CD49" s="3"/>
      <c r="CE49" s="3"/>
      <c r="CF49" s="3"/>
      <c r="CG49" s="3">
        <v>104104</v>
      </c>
      <c r="CH49" s="3"/>
      <c r="CI49" s="3"/>
      <c r="CJ49" s="3"/>
      <c r="CK49" s="3"/>
      <c r="CL49" s="3"/>
      <c r="CM49" s="3">
        <v>1456</v>
      </c>
      <c r="CN49" s="3"/>
      <c r="CO49" s="3"/>
      <c r="CP49" s="3"/>
      <c r="CQ49" s="3"/>
      <c r="CR49" s="3"/>
      <c r="CS49" s="3">
        <v>3784</v>
      </c>
      <c r="CT49" s="3"/>
      <c r="CU49" s="3"/>
      <c r="CV49" s="3">
        <v>736</v>
      </c>
      <c r="CW49" s="3"/>
      <c r="CX49" s="40">
        <f>H49+L49+P49+T49+X49+AB49+AH49+AL49+AS49+AW49+BC49+BJ49+BQ49+BV49+CA49+CG49+CM49+CS49+CV49</f>
        <v>382209.6</v>
      </c>
    </row>
    <row r="50" spans="1:102" ht="24.75" customHeight="1">
      <c r="A50" s="108" t="s">
        <v>146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  <c r="Z50" s="107"/>
      <c r="AA50" s="107"/>
      <c r="AB50" s="107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9">
        <f>SUM(CX48:CX49)</f>
        <v>929233.6</v>
      </c>
    </row>
  </sheetData>
  <sheetProtection/>
  <mergeCells count="21">
    <mergeCell ref="C2:BP2"/>
    <mergeCell ref="AC4:AH4"/>
    <mergeCell ref="I4:L4"/>
    <mergeCell ref="M4:P4"/>
    <mergeCell ref="U4:X4"/>
    <mergeCell ref="CB4:CG4"/>
    <mergeCell ref="Q4:T4"/>
    <mergeCell ref="AI4:AL4"/>
    <mergeCell ref="CW4:CX4"/>
    <mergeCell ref="BR4:BV4"/>
    <mergeCell ref="BW4:CA4"/>
    <mergeCell ref="BK4:BQ4"/>
    <mergeCell ref="CN4:CS4"/>
    <mergeCell ref="CT4:CV4"/>
    <mergeCell ref="CH4:CM4"/>
    <mergeCell ref="AT4:AW4"/>
    <mergeCell ref="E4:H4"/>
    <mergeCell ref="Y4:AB4"/>
    <mergeCell ref="AM4:AS4"/>
    <mergeCell ref="BD4:BJ4"/>
    <mergeCell ref="AX4:BC4"/>
  </mergeCells>
  <printOptions/>
  <pageMargins left="0.17" right="0.17" top="0.27" bottom="0.16" header="0.5" footer="0.5"/>
  <pageSetup horizontalDpi="600" verticalDpi="600" orientation="landscape" paperSize="9" scale="28" r:id="rId1"/>
  <rowBreaks count="1" manualBreakCount="1">
    <brk id="39" max="255" man="1"/>
  </rowBreaks>
  <colBreaks count="3" manualBreakCount="3">
    <brk id="38" max="65535" man="1"/>
    <brk id="69" max="65535" man="1"/>
    <brk id="10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C93"/>
  <sheetViews>
    <sheetView view="pageBreakPreview" zoomScale="50" zoomScaleNormal="50" zoomScaleSheetLayoutView="50" zoomScalePageLayoutView="0" workbookViewId="0" topLeftCell="A4">
      <pane xSplit="13" ySplit="22" topLeftCell="AW26" activePane="bottomRight" state="frozen"/>
      <selection pane="topLeft" activeCell="A4" sqref="A4"/>
      <selection pane="topRight" activeCell="N4" sqref="N4"/>
      <selection pane="bottomLeft" activeCell="A25" sqref="A25"/>
      <selection pane="bottomRight" activeCell="AZ61" sqref="AZ61"/>
    </sheetView>
  </sheetViews>
  <sheetFormatPr defaultColWidth="9.00390625" defaultRowHeight="12.75"/>
  <cols>
    <col min="1" max="1" width="7.25390625" style="7" customWidth="1"/>
    <col min="2" max="2" width="50.875" style="7" customWidth="1"/>
    <col min="3" max="3" width="12.25390625" style="7" customWidth="1"/>
    <col min="4" max="4" width="10.125" style="7" customWidth="1"/>
    <col min="5" max="5" width="14.00390625" style="7" customWidth="1"/>
    <col min="6" max="6" width="14.75390625" style="14" customWidth="1"/>
    <col min="7" max="7" width="8.75390625" style="15" customWidth="1"/>
    <col min="8" max="8" width="16.625" style="7" customWidth="1"/>
    <col min="9" max="9" width="16.625" style="7" hidden="1" customWidth="1"/>
    <col min="10" max="10" width="16.625" style="7" customWidth="1"/>
    <col min="11" max="11" width="21.375" style="7" customWidth="1"/>
    <col min="12" max="13" width="21.375" style="7" hidden="1" customWidth="1"/>
    <col min="14" max="15" width="21.375" style="7" customWidth="1"/>
    <col min="16" max="16" width="18.75390625" style="7" customWidth="1"/>
    <col min="17" max="17" width="22.375" style="68" customWidth="1"/>
    <col min="18" max="18" width="8.125" style="7" customWidth="1"/>
    <col min="19" max="20" width="18.375" style="7" customWidth="1"/>
    <col min="21" max="21" width="24.75390625" style="7" customWidth="1"/>
    <col min="22" max="22" width="21.625" style="7" customWidth="1"/>
    <col min="23" max="24" width="21.625" style="7" hidden="1" customWidth="1"/>
    <col min="25" max="26" width="21.625" style="7" customWidth="1"/>
    <col min="27" max="27" width="21.125" style="7" customWidth="1"/>
    <col min="28" max="28" width="19.00390625" style="68" customWidth="1"/>
    <col min="29" max="29" width="7.625" style="7" customWidth="1"/>
    <col min="30" max="30" width="13.625" style="7" customWidth="1"/>
    <col min="31" max="32" width="16.375" style="7" customWidth="1"/>
    <col min="33" max="33" width="19.625" style="7" customWidth="1"/>
    <col min="34" max="35" width="19.625" style="7" hidden="1" customWidth="1"/>
    <col min="36" max="37" width="21.00390625" style="7" customWidth="1"/>
    <col min="38" max="38" width="22.25390625" style="7" customWidth="1"/>
    <col min="39" max="39" width="24.25390625" style="68" customWidth="1"/>
    <col min="40" max="40" width="9.00390625" style="7" customWidth="1"/>
    <col min="41" max="43" width="19.125" style="7" customWidth="1"/>
    <col min="44" max="46" width="19.125" style="7" hidden="1" customWidth="1"/>
    <col min="47" max="48" width="19.125" style="7" customWidth="1"/>
    <col min="49" max="49" width="22.00390625" style="7" customWidth="1"/>
    <col min="50" max="50" width="21.00390625" style="68" customWidth="1"/>
    <col min="51" max="51" width="9.375" style="7" customWidth="1"/>
    <col min="52" max="53" width="20.875" style="7" customWidth="1"/>
    <col min="54" max="54" width="23.125" style="7" customWidth="1"/>
    <col min="55" max="55" width="19.75390625" style="7" customWidth="1"/>
    <col min="56" max="57" width="19.75390625" style="7" hidden="1" customWidth="1"/>
    <col min="58" max="59" width="19.75390625" style="7" customWidth="1"/>
    <col min="60" max="60" width="20.625" style="7" customWidth="1"/>
    <col min="61" max="61" width="23.00390625" style="68" customWidth="1"/>
    <col min="62" max="62" width="7.00390625" style="7" customWidth="1"/>
    <col min="63" max="63" width="15.625" style="7" customWidth="1"/>
    <col min="64" max="66" width="19.25390625" style="7" customWidth="1"/>
    <col min="67" max="68" width="19.25390625" style="7" hidden="1" customWidth="1"/>
    <col min="69" max="70" width="19.25390625" style="7" customWidth="1"/>
    <col min="71" max="71" width="18.875" style="7" customWidth="1"/>
    <col min="72" max="72" width="22.375" style="68" customWidth="1"/>
    <col min="73" max="73" width="6.875" style="7" customWidth="1"/>
    <col min="74" max="75" width="18.375" style="7" customWidth="1"/>
    <col min="76" max="76" width="20.375" style="7" customWidth="1"/>
    <col min="77" max="79" width="20.375" style="7" hidden="1" customWidth="1"/>
    <col min="80" max="81" width="20.375" style="7" customWidth="1"/>
    <col min="82" max="82" width="18.375" style="7" customWidth="1"/>
    <col min="83" max="83" width="21.375" style="68" customWidth="1"/>
    <col min="84" max="84" width="11.00390625" style="7" customWidth="1"/>
    <col min="85" max="87" width="17.00390625" style="7" customWidth="1"/>
    <col min="88" max="88" width="17.625" style="7" customWidth="1"/>
    <col min="89" max="90" width="17.625" style="7" hidden="1" customWidth="1"/>
    <col min="91" max="91" width="17.625" style="7" customWidth="1"/>
    <col min="92" max="92" width="20.125" style="7" customWidth="1"/>
    <col min="93" max="93" width="20.00390625" style="7" customWidth="1"/>
    <col min="94" max="94" width="22.75390625" style="68" customWidth="1"/>
    <col min="95" max="95" width="11.00390625" style="7" customWidth="1"/>
    <col min="96" max="97" width="21.125" style="7" customWidth="1"/>
    <col min="98" max="98" width="23.125" style="7" customWidth="1"/>
    <col min="99" max="101" width="23.125" style="7" hidden="1" customWidth="1"/>
    <col min="102" max="103" width="23.125" style="7" customWidth="1"/>
    <col min="104" max="104" width="19.625" style="7" customWidth="1"/>
    <col min="105" max="105" width="23.125" style="68" customWidth="1"/>
    <col min="106" max="106" width="18.00390625" style="7" customWidth="1"/>
    <col min="107" max="107" width="24.375" style="68" customWidth="1"/>
    <col min="108" max="16384" width="9.125" style="7" customWidth="1"/>
  </cols>
  <sheetData>
    <row r="2" spans="2:107" ht="27.75">
      <c r="B2" s="157" t="s">
        <v>124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</row>
    <row r="4" ht="26.25">
      <c r="B4" s="68" t="s">
        <v>151</v>
      </c>
    </row>
    <row r="5" spans="1:107" ht="42" customHeight="1">
      <c r="A5" s="164"/>
      <c r="B5" s="158" t="s">
        <v>0</v>
      </c>
      <c r="C5" s="158" t="s">
        <v>78</v>
      </c>
      <c r="D5" s="158" t="s">
        <v>79</v>
      </c>
      <c r="E5" s="158" t="s">
        <v>80</v>
      </c>
      <c r="F5" s="159" t="s">
        <v>81</v>
      </c>
      <c r="G5" s="158" t="s">
        <v>82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 t="s">
        <v>88</v>
      </c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 t="s">
        <v>89</v>
      </c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 t="s">
        <v>90</v>
      </c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 t="s">
        <v>91</v>
      </c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 t="s">
        <v>92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 t="s">
        <v>93</v>
      </c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 t="s">
        <v>98</v>
      </c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 t="s">
        <v>127</v>
      </c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 t="s">
        <v>94</v>
      </c>
      <c r="DC5" s="158"/>
    </row>
    <row r="6" spans="1:107" ht="87.75" customHeight="1">
      <c r="A6" s="164"/>
      <c r="B6" s="158"/>
      <c r="C6" s="158"/>
      <c r="D6" s="158"/>
      <c r="E6" s="158"/>
      <c r="F6" s="159"/>
      <c r="G6" s="13" t="s">
        <v>96</v>
      </c>
      <c r="H6" s="13" t="s">
        <v>84</v>
      </c>
      <c r="I6" s="13" t="s">
        <v>85</v>
      </c>
      <c r="J6" s="13" t="s">
        <v>128</v>
      </c>
      <c r="K6" s="62">
        <v>0.1</v>
      </c>
      <c r="L6" s="13"/>
      <c r="M6" s="13" t="s">
        <v>130</v>
      </c>
      <c r="N6" s="13" t="s">
        <v>125</v>
      </c>
      <c r="O6" s="62" t="s">
        <v>126</v>
      </c>
      <c r="P6" s="62">
        <v>0.2</v>
      </c>
      <c r="Q6" s="13" t="s">
        <v>87</v>
      </c>
      <c r="R6" s="13" t="s">
        <v>96</v>
      </c>
      <c r="S6" s="13" t="s">
        <v>84</v>
      </c>
      <c r="T6" s="13" t="s">
        <v>85</v>
      </c>
      <c r="U6" s="13" t="s">
        <v>128</v>
      </c>
      <c r="V6" s="62">
        <v>0.1</v>
      </c>
      <c r="W6" s="13"/>
      <c r="X6" s="13"/>
      <c r="Y6" s="13" t="s">
        <v>125</v>
      </c>
      <c r="Z6" s="62" t="s">
        <v>126</v>
      </c>
      <c r="AA6" s="62">
        <v>0.2</v>
      </c>
      <c r="AB6" s="13" t="s">
        <v>87</v>
      </c>
      <c r="AC6" s="13" t="s">
        <v>96</v>
      </c>
      <c r="AD6" s="13" t="s">
        <v>84</v>
      </c>
      <c r="AE6" s="13" t="s">
        <v>85</v>
      </c>
      <c r="AF6" s="13" t="s">
        <v>128</v>
      </c>
      <c r="AG6" s="62">
        <v>0.1</v>
      </c>
      <c r="AH6" s="13"/>
      <c r="AI6" s="13"/>
      <c r="AJ6" s="13" t="s">
        <v>125</v>
      </c>
      <c r="AK6" s="62" t="s">
        <v>126</v>
      </c>
      <c r="AL6" s="62">
        <v>0.2</v>
      </c>
      <c r="AM6" s="13" t="s">
        <v>87</v>
      </c>
      <c r="AN6" s="13" t="s">
        <v>96</v>
      </c>
      <c r="AO6" s="13" t="s">
        <v>84</v>
      </c>
      <c r="AP6" s="13" t="s">
        <v>85</v>
      </c>
      <c r="AQ6" s="13" t="s">
        <v>128</v>
      </c>
      <c r="AR6" s="62"/>
      <c r="AS6" s="13"/>
      <c r="AT6" s="13"/>
      <c r="AU6" s="13" t="s">
        <v>125</v>
      </c>
      <c r="AV6" s="62" t="s">
        <v>132</v>
      </c>
      <c r="AW6" s="62">
        <v>0.5</v>
      </c>
      <c r="AX6" s="13" t="s">
        <v>87</v>
      </c>
      <c r="AY6" s="13" t="s">
        <v>96</v>
      </c>
      <c r="AZ6" s="13" t="s">
        <v>84</v>
      </c>
      <c r="BA6" s="13" t="s">
        <v>85</v>
      </c>
      <c r="BB6" s="13" t="s">
        <v>128</v>
      </c>
      <c r="BC6" s="62">
        <v>0.1</v>
      </c>
      <c r="BD6" s="13" t="s">
        <v>129</v>
      </c>
      <c r="BE6" s="13" t="s">
        <v>130</v>
      </c>
      <c r="BF6" s="13" t="s">
        <v>125</v>
      </c>
      <c r="BG6" s="62" t="s">
        <v>126</v>
      </c>
      <c r="BH6" s="62" t="s">
        <v>141</v>
      </c>
      <c r="BI6" s="13" t="s">
        <v>87</v>
      </c>
      <c r="BJ6" s="13" t="s">
        <v>96</v>
      </c>
      <c r="BK6" s="13" t="s">
        <v>84</v>
      </c>
      <c r="BL6" s="13" t="s">
        <v>85</v>
      </c>
      <c r="BM6" s="13" t="s">
        <v>128</v>
      </c>
      <c r="BN6" s="62">
        <v>0.1</v>
      </c>
      <c r="BO6" s="13" t="s">
        <v>129</v>
      </c>
      <c r="BP6" s="13" t="s">
        <v>130</v>
      </c>
      <c r="BQ6" s="13" t="s">
        <v>125</v>
      </c>
      <c r="BR6" s="62" t="s">
        <v>126</v>
      </c>
      <c r="BS6" s="62">
        <v>0.1</v>
      </c>
      <c r="BT6" s="13" t="s">
        <v>87</v>
      </c>
      <c r="BU6" s="13" t="s">
        <v>96</v>
      </c>
      <c r="BV6" s="13" t="s">
        <v>84</v>
      </c>
      <c r="BW6" s="13" t="s">
        <v>85</v>
      </c>
      <c r="BX6" s="13" t="s">
        <v>128</v>
      </c>
      <c r="BY6" s="62">
        <v>0.1</v>
      </c>
      <c r="BZ6" s="13" t="s">
        <v>129</v>
      </c>
      <c r="CA6" s="13" t="s">
        <v>130</v>
      </c>
      <c r="CB6" s="13" t="s">
        <v>125</v>
      </c>
      <c r="CC6" s="62" t="s">
        <v>126</v>
      </c>
      <c r="CD6" s="62">
        <v>0.2</v>
      </c>
      <c r="CE6" s="13" t="s">
        <v>87</v>
      </c>
      <c r="CF6" s="13" t="s">
        <v>96</v>
      </c>
      <c r="CG6" s="13" t="s">
        <v>84</v>
      </c>
      <c r="CH6" s="13" t="s">
        <v>85</v>
      </c>
      <c r="CI6" s="13" t="s">
        <v>128</v>
      </c>
      <c r="CJ6" s="62">
        <v>0.1</v>
      </c>
      <c r="CK6" s="13" t="s">
        <v>129</v>
      </c>
      <c r="CL6" s="13" t="s">
        <v>130</v>
      </c>
      <c r="CM6" s="13" t="s">
        <v>125</v>
      </c>
      <c r="CN6" s="62" t="s">
        <v>126</v>
      </c>
      <c r="CO6" s="62">
        <v>0.2</v>
      </c>
      <c r="CP6" s="13" t="s">
        <v>87</v>
      </c>
      <c r="CQ6" s="13" t="s">
        <v>96</v>
      </c>
      <c r="CR6" s="13" t="s">
        <v>84</v>
      </c>
      <c r="CS6" s="13" t="s">
        <v>85</v>
      </c>
      <c r="CT6" s="13" t="s">
        <v>128</v>
      </c>
      <c r="CU6" s="62">
        <v>0.1</v>
      </c>
      <c r="CV6" s="13" t="s">
        <v>129</v>
      </c>
      <c r="CW6" s="13" t="s">
        <v>130</v>
      </c>
      <c r="CX6" s="13" t="s">
        <v>125</v>
      </c>
      <c r="CY6" s="62" t="s">
        <v>126</v>
      </c>
      <c r="CZ6" s="62">
        <v>0.2</v>
      </c>
      <c r="DA6" s="13" t="s">
        <v>87</v>
      </c>
      <c r="DB6" s="13" t="s">
        <v>83</v>
      </c>
      <c r="DC6" s="13" t="s">
        <v>95</v>
      </c>
    </row>
    <row r="7" spans="1:107" s="119" customFormat="1" ht="29.25" customHeight="1">
      <c r="A7" s="111">
        <v>1</v>
      </c>
      <c r="B7" s="111" t="s">
        <v>51</v>
      </c>
      <c r="C7" s="111"/>
      <c r="D7" s="111">
        <v>1</v>
      </c>
      <c r="E7" s="111">
        <v>8</v>
      </c>
      <c r="F7" s="112"/>
      <c r="G7" s="113"/>
      <c r="H7" s="111"/>
      <c r="I7" s="111"/>
      <c r="J7" s="111"/>
      <c r="K7" s="111"/>
      <c r="L7" s="111"/>
      <c r="M7" s="111">
        <f>J7*L7</f>
        <v>0</v>
      </c>
      <c r="N7" s="111"/>
      <c r="O7" s="111">
        <f>(J7+M7)*N7</f>
        <v>0</v>
      </c>
      <c r="P7" s="111"/>
      <c r="Q7" s="115">
        <v>1064.8</v>
      </c>
      <c r="R7" s="111"/>
      <c r="S7" s="111"/>
      <c r="T7" s="111"/>
      <c r="U7" s="111">
        <f>S7*T7</f>
        <v>0</v>
      </c>
      <c r="V7" s="111"/>
      <c r="W7" s="111"/>
      <c r="X7" s="111">
        <f>U7*W7</f>
        <v>0</v>
      </c>
      <c r="Y7" s="111"/>
      <c r="Z7" s="111">
        <f>(U7+X7)*Y7</f>
        <v>0</v>
      </c>
      <c r="AA7" s="111">
        <f>(U7+X7)*20%</f>
        <v>0</v>
      </c>
      <c r="AB7" s="115">
        <f>U7+V7+X7+Z7+AA7</f>
        <v>0</v>
      </c>
      <c r="AC7" s="111"/>
      <c r="AD7" s="111"/>
      <c r="AE7" s="111"/>
      <c r="AF7" s="111">
        <f>AD7*AE7</f>
        <v>0</v>
      </c>
      <c r="AG7" s="111"/>
      <c r="AH7" s="111"/>
      <c r="AI7" s="111">
        <f>AF7*AH7</f>
        <v>0</v>
      </c>
      <c r="AJ7" s="111"/>
      <c r="AK7" s="111">
        <f>(AF7+AI7)*AJ7</f>
        <v>0</v>
      </c>
      <c r="AL7" s="111">
        <f>(AF7+AI7)*20%</f>
        <v>0</v>
      </c>
      <c r="AM7" s="115">
        <f>AF7+AG7+AI7+AK7+AL7</f>
        <v>0</v>
      </c>
      <c r="AN7" s="111"/>
      <c r="AO7" s="111"/>
      <c r="AP7" s="111"/>
      <c r="AQ7" s="111">
        <f>AO7*AP7</f>
        <v>0</v>
      </c>
      <c r="AR7" s="111"/>
      <c r="AS7" s="111"/>
      <c r="AT7" s="111">
        <f>AQ7*AS7</f>
        <v>0</v>
      </c>
      <c r="AU7" s="111"/>
      <c r="AV7" s="111">
        <f>(AQ7+AT7)*AU7</f>
        <v>0</v>
      </c>
      <c r="AW7" s="111">
        <f>AQ7*50%</f>
        <v>0</v>
      </c>
      <c r="AX7" s="115">
        <f>AQ7+AR7+AT7+AV7+AW7</f>
        <v>0</v>
      </c>
      <c r="AY7" s="111">
        <v>11</v>
      </c>
      <c r="AZ7" s="116">
        <v>0.25</v>
      </c>
      <c r="BA7" s="111">
        <v>3152</v>
      </c>
      <c r="BB7" s="111">
        <f>AZ7*BA7</f>
        <v>788</v>
      </c>
      <c r="BC7" s="111"/>
      <c r="BD7" s="111"/>
      <c r="BE7" s="111">
        <f>BB7*BD7</f>
        <v>0</v>
      </c>
      <c r="BF7" s="114">
        <v>0.1</v>
      </c>
      <c r="BG7" s="111">
        <f>(BB7+BE7)*BF7</f>
        <v>78.80000000000001</v>
      </c>
      <c r="BH7" s="111">
        <f>(BB7+BE7)*20%</f>
        <v>157.60000000000002</v>
      </c>
      <c r="BI7" s="118">
        <f>BB7+BC7+BE7+BG7+BH7</f>
        <v>1024.4</v>
      </c>
      <c r="BJ7" s="111">
        <v>11</v>
      </c>
      <c r="BK7" s="116">
        <v>0.25</v>
      </c>
      <c r="BL7" s="111">
        <v>3152</v>
      </c>
      <c r="BM7" s="111">
        <f>BK7*BL7</f>
        <v>788</v>
      </c>
      <c r="BN7" s="111"/>
      <c r="BO7" s="111"/>
      <c r="BP7" s="111">
        <f>BM7*BO7</f>
        <v>0</v>
      </c>
      <c r="BQ7" s="114">
        <v>0.1</v>
      </c>
      <c r="BR7" s="111">
        <f>(BM7+BP7)*BQ7</f>
        <v>78.80000000000001</v>
      </c>
      <c r="BS7" s="111">
        <f>(BM7+BP7)*20%</f>
        <v>157.60000000000002</v>
      </c>
      <c r="BT7" s="118">
        <f>BM7+BN7+BP7+BR7+BS7</f>
        <v>1024.4</v>
      </c>
      <c r="BU7" s="111"/>
      <c r="BV7" s="111"/>
      <c r="BW7" s="111"/>
      <c r="BX7" s="111">
        <f>BV7*BW7</f>
        <v>0</v>
      </c>
      <c r="BY7" s="111"/>
      <c r="BZ7" s="111"/>
      <c r="CA7" s="111">
        <f>BX7*BZ7</f>
        <v>0</v>
      </c>
      <c r="CB7" s="111"/>
      <c r="CC7" s="111">
        <f>(BX7+CA7)*CB7</f>
        <v>0</v>
      </c>
      <c r="CD7" s="111">
        <f>(BX7+CA7)*20%</f>
        <v>0</v>
      </c>
      <c r="CE7" s="115">
        <f>BX7+BY7+CA7+CC7+CD7</f>
        <v>0</v>
      </c>
      <c r="CF7" s="111"/>
      <c r="CG7" s="111"/>
      <c r="CH7" s="111"/>
      <c r="CI7" s="111">
        <f>CG7*CH7</f>
        <v>0</v>
      </c>
      <c r="CJ7" s="111"/>
      <c r="CK7" s="111"/>
      <c r="CL7" s="111">
        <f>CI7*CK7</f>
        <v>0</v>
      </c>
      <c r="CM7" s="111"/>
      <c r="CN7" s="111">
        <f>(CI7+CL7)*CM7</f>
        <v>0</v>
      </c>
      <c r="CO7" s="111">
        <f>(CI7+CL7)*20%</f>
        <v>0</v>
      </c>
      <c r="CP7" s="115">
        <f>CI7+CJ7+CL7+CN7+CO7</f>
        <v>0</v>
      </c>
      <c r="CQ7" s="111"/>
      <c r="CR7" s="111"/>
      <c r="CS7" s="111"/>
      <c r="CT7" s="111">
        <f>CR7*CS7</f>
        <v>0</v>
      </c>
      <c r="CU7" s="111"/>
      <c r="CV7" s="111"/>
      <c r="CW7" s="111">
        <f>CT7*CV7</f>
        <v>0</v>
      </c>
      <c r="CX7" s="111"/>
      <c r="CY7" s="111">
        <f>(CT7+CW7)*CX7</f>
        <v>0</v>
      </c>
      <c r="CZ7" s="111">
        <f>(CT7+CW7)*20%</f>
        <v>0</v>
      </c>
      <c r="DA7" s="115">
        <f>CT7+CU7+CW7+CY7+CZ7</f>
        <v>0</v>
      </c>
      <c r="DB7" s="111">
        <f>H7+S7+AD7+AO7+AZ7+BK7+BV7+CG7+CR7</f>
        <v>0.5</v>
      </c>
      <c r="DC7" s="115">
        <f>Q7+AB7+BI7+BT7+CE7+CP7+DA7</f>
        <v>3113.6</v>
      </c>
    </row>
    <row r="8" spans="1:107" s="86" customFormat="1" ht="25.5">
      <c r="A8" s="83"/>
      <c r="B8" s="84" t="s">
        <v>52</v>
      </c>
      <c r="C8" s="84">
        <f>C7</f>
        <v>0</v>
      </c>
      <c r="D8" s="84">
        <f aca="true" t="shared" si="0" ref="D8:BO8">D7</f>
        <v>1</v>
      </c>
      <c r="E8" s="84">
        <f t="shared" si="0"/>
        <v>8</v>
      </c>
      <c r="F8" s="84">
        <f t="shared" si="0"/>
        <v>0</v>
      </c>
      <c r="G8" s="84"/>
      <c r="H8" s="84">
        <f t="shared" si="0"/>
        <v>0</v>
      </c>
      <c r="I8" s="84"/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1064.8</v>
      </c>
      <c r="R8" s="84"/>
      <c r="S8" s="84">
        <f t="shared" si="0"/>
        <v>0</v>
      </c>
      <c r="T8" s="84">
        <f t="shared" si="0"/>
        <v>0</v>
      </c>
      <c r="U8" s="84">
        <f t="shared" si="0"/>
        <v>0</v>
      </c>
      <c r="V8" s="84">
        <f t="shared" si="0"/>
        <v>0</v>
      </c>
      <c r="W8" s="84">
        <f t="shared" si="0"/>
        <v>0</v>
      </c>
      <c r="X8" s="84">
        <f t="shared" si="0"/>
        <v>0</v>
      </c>
      <c r="Y8" s="84">
        <f t="shared" si="0"/>
        <v>0</v>
      </c>
      <c r="Z8" s="84">
        <f t="shared" si="0"/>
        <v>0</v>
      </c>
      <c r="AA8" s="84">
        <f t="shared" si="0"/>
        <v>0</v>
      </c>
      <c r="AB8" s="84">
        <f t="shared" si="0"/>
        <v>0</v>
      </c>
      <c r="AC8" s="84"/>
      <c r="AD8" s="84">
        <f t="shared" si="0"/>
        <v>0</v>
      </c>
      <c r="AE8" s="84">
        <f t="shared" si="0"/>
        <v>0</v>
      </c>
      <c r="AF8" s="84">
        <f t="shared" si="0"/>
        <v>0</v>
      </c>
      <c r="AG8" s="84">
        <f t="shared" si="0"/>
        <v>0</v>
      </c>
      <c r="AH8" s="84">
        <f t="shared" si="0"/>
        <v>0</v>
      </c>
      <c r="AI8" s="84">
        <f t="shared" si="0"/>
        <v>0</v>
      </c>
      <c r="AJ8" s="84">
        <f t="shared" si="0"/>
        <v>0</v>
      </c>
      <c r="AK8" s="84">
        <f t="shared" si="0"/>
        <v>0</v>
      </c>
      <c r="AL8" s="84">
        <f t="shared" si="0"/>
        <v>0</v>
      </c>
      <c r="AM8" s="84">
        <f t="shared" si="0"/>
        <v>0</v>
      </c>
      <c r="AN8" s="84"/>
      <c r="AO8" s="84">
        <f t="shared" si="0"/>
        <v>0</v>
      </c>
      <c r="AP8" s="84"/>
      <c r="AQ8" s="84">
        <f t="shared" si="0"/>
        <v>0</v>
      </c>
      <c r="AR8" s="84">
        <f t="shared" si="0"/>
        <v>0</v>
      </c>
      <c r="AS8" s="84">
        <f t="shared" si="0"/>
        <v>0</v>
      </c>
      <c r="AT8" s="84">
        <f t="shared" si="0"/>
        <v>0</v>
      </c>
      <c r="AU8" s="84">
        <f t="shared" si="0"/>
        <v>0</v>
      </c>
      <c r="AV8" s="84">
        <f t="shared" si="0"/>
        <v>0</v>
      </c>
      <c r="AW8" s="84">
        <f t="shared" si="0"/>
        <v>0</v>
      </c>
      <c r="AX8" s="84">
        <f t="shared" si="0"/>
        <v>0</v>
      </c>
      <c r="AY8" s="84"/>
      <c r="AZ8" s="84">
        <f t="shared" si="0"/>
        <v>0.25</v>
      </c>
      <c r="BA8" s="84"/>
      <c r="BB8" s="84">
        <f t="shared" si="0"/>
        <v>788</v>
      </c>
      <c r="BC8" s="84">
        <f t="shared" si="0"/>
        <v>0</v>
      </c>
      <c r="BD8" s="84">
        <f t="shared" si="0"/>
        <v>0</v>
      </c>
      <c r="BE8" s="84">
        <f t="shared" si="0"/>
        <v>0</v>
      </c>
      <c r="BF8" s="84">
        <f t="shared" si="0"/>
        <v>0.1</v>
      </c>
      <c r="BG8" s="84">
        <f t="shared" si="0"/>
        <v>78.80000000000001</v>
      </c>
      <c r="BH8" s="84">
        <f t="shared" si="0"/>
        <v>157.60000000000002</v>
      </c>
      <c r="BI8" s="85">
        <f t="shared" si="0"/>
        <v>1024.4</v>
      </c>
      <c r="BJ8" s="84"/>
      <c r="BK8" s="84">
        <f t="shared" si="0"/>
        <v>0.25</v>
      </c>
      <c r="BL8" s="84"/>
      <c r="BM8" s="84">
        <f t="shared" si="0"/>
        <v>788</v>
      </c>
      <c r="BN8" s="84">
        <f t="shared" si="0"/>
        <v>0</v>
      </c>
      <c r="BO8" s="84">
        <f t="shared" si="0"/>
        <v>0</v>
      </c>
      <c r="BP8" s="84">
        <f aca="true" t="shared" si="1" ref="BP8:DC8">BP7</f>
        <v>0</v>
      </c>
      <c r="BQ8" s="84">
        <f t="shared" si="1"/>
        <v>0.1</v>
      </c>
      <c r="BR8" s="84">
        <f t="shared" si="1"/>
        <v>78.80000000000001</v>
      </c>
      <c r="BS8" s="84">
        <f t="shared" si="1"/>
        <v>157.60000000000002</v>
      </c>
      <c r="BT8" s="85">
        <f t="shared" si="1"/>
        <v>1024.4</v>
      </c>
      <c r="BU8" s="84"/>
      <c r="BV8" s="84">
        <f t="shared" si="1"/>
        <v>0</v>
      </c>
      <c r="BW8" s="84"/>
      <c r="BX8" s="84">
        <f t="shared" si="1"/>
        <v>0</v>
      </c>
      <c r="BY8" s="84">
        <f t="shared" si="1"/>
        <v>0</v>
      </c>
      <c r="BZ8" s="84">
        <f t="shared" si="1"/>
        <v>0</v>
      </c>
      <c r="CA8" s="84">
        <f t="shared" si="1"/>
        <v>0</v>
      </c>
      <c r="CB8" s="84">
        <f t="shared" si="1"/>
        <v>0</v>
      </c>
      <c r="CC8" s="84">
        <f t="shared" si="1"/>
        <v>0</v>
      </c>
      <c r="CD8" s="84">
        <f t="shared" si="1"/>
        <v>0</v>
      </c>
      <c r="CE8" s="84">
        <f t="shared" si="1"/>
        <v>0</v>
      </c>
      <c r="CF8" s="84"/>
      <c r="CG8" s="84">
        <f t="shared" si="1"/>
        <v>0</v>
      </c>
      <c r="CH8" s="84"/>
      <c r="CI8" s="84">
        <f t="shared" si="1"/>
        <v>0</v>
      </c>
      <c r="CJ8" s="84">
        <f t="shared" si="1"/>
        <v>0</v>
      </c>
      <c r="CK8" s="84">
        <f t="shared" si="1"/>
        <v>0</v>
      </c>
      <c r="CL8" s="84">
        <f t="shared" si="1"/>
        <v>0</v>
      </c>
      <c r="CM8" s="84"/>
      <c r="CN8" s="84">
        <f t="shared" si="1"/>
        <v>0</v>
      </c>
      <c r="CO8" s="84">
        <f t="shared" si="1"/>
        <v>0</v>
      </c>
      <c r="CP8" s="84">
        <f t="shared" si="1"/>
        <v>0</v>
      </c>
      <c r="CQ8" s="84"/>
      <c r="CR8" s="84">
        <f t="shared" si="1"/>
        <v>0</v>
      </c>
      <c r="CS8" s="84"/>
      <c r="CT8" s="84">
        <f t="shared" si="1"/>
        <v>0</v>
      </c>
      <c r="CU8" s="84">
        <f t="shared" si="1"/>
        <v>0</v>
      </c>
      <c r="CV8" s="84">
        <f t="shared" si="1"/>
        <v>0</v>
      </c>
      <c r="CW8" s="84">
        <f t="shared" si="1"/>
        <v>0</v>
      </c>
      <c r="CX8" s="84">
        <f t="shared" si="1"/>
        <v>0</v>
      </c>
      <c r="CY8" s="84">
        <f t="shared" si="1"/>
        <v>0</v>
      </c>
      <c r="CZ8" s="84">
        <f t="shared" si="1"/>
        <v>0</v>
      </c>
      <c r="DA8" s="84">
        <f t="shared" si="1"/>
        <v>0</v>
      </c>
      <c r="DB8" s="84">
        <f t="shared" si="1"/>
        <v>0.5</v>
      </c>
      <c r="DC8" s="84">
        <f t="shared" si="1"/>
        <v>3113.6</v>
      </c>
    </row>
    <row r="9" spans="1:107" s="119" customFormat="1" ht="28.5" customHeight="1">
      <c r="A9" s="111">
        <v>2</v>
      </c>
      <c r="B9" s="111" t="s">
        <v>21</v>
      </c>
      <c r="C9" s="111">
        <v>2</v>
      </c>
      <c r="D9" s="111">
        <v>3</v>
      </c>
      <c r="E9" s="111">
        <v>26</v>
      </c>
      <c r="F9" s="112"/>
      <c r="G9" s="113">
        <v>14</v>
      </c>
      <c r="H9" s="111">
        <v>1</v>
      </c>
      <c r="I9" s="111"/>
      <c r="J9" s="111">
        <v>3872</v>
      </c>
      <c r="K9" s="111"/>
      <c r="L9" s="111"/>
      <c r="M9" s="111">
        <f aca="true" t="shared" si="2" ref="M9:M20">J9*L9</f>
        <v>0</v>
      </c>
      <c r="N9" s="114">
        <v>0.3</v>
      </c>
      <c r="O9" s="111">
        <f aca="true" t="shared" si="3" ref="O9:O20">(J9+M9)*N9</f>
        <v>1161.6</v>
      </c>
      <c r="P9" s="111">
        <f aca="true" t="shared" si="4" ref="P9:P20">(J9+M9)*20%</f>
        <v>774.4000000000001</v>
      </c>
      <c r="Q9" s="115">
        <f aca="true" t="shared" si="5" ref="Q9:Q20">J9+K9+M9+O9+P9</f>
        <v>5808</v>
      </c>
      <c r="R9" s="111"/>
      <c r="S9" s="111"/>
      <c r="T9" s="111"/>
      <c r="U9" s="111">
        <f aca="true" t="shared" si="6" ref="U9:U20">S9*T9</f>
        <v>0</v>
      </c>
      <c r="V9" s="111"/>
      <c r="W9" s="111"/>
      <c r="X9" s="111">
        <f aca="true" t="shared" si="7" ref="X9:X20">U9*W9</f>
        <v>0</v>
      </c>
      <c r="Y9" s="111"/>
      <c r="Z9" s="111">
        <f aca="true" t="shared" si="8" ref="Z9:Z20">(U9+X9)*Y9</f>
        <v>0</v>
      </c>
      <c r="AA9" s="111">
        <f aca="true" t="shared" si="9" ref="AA9:AA20">(U9+X9)*20%</f>
        <v>0</v>
      </c>
      <c r="AB9" s="115">
        <f aca="true" t="shared" si="10" ref="AB9:AB20">U9+V9+X9+Z9+AA9</f>
        <v>0</v>
      </c>
      <c r="AC9" s="111"/>
      <c r="AD9" s="111"/>
      <c r="AE9" s="111"/>
      <c r="AF9" s="111">
        <f aca="true" t="shared" si="11" ref="AF9:AF20">AD9*AE9</f>
        <v>0</v>
      </c>
      <c r="AG9" s="111"/>
      <c r="AH9" s="111"/>
      <c r="AI9" s="111">
        <f aca="true" t="shared" si="12" ref="AI9:AI20">AF9*AH9</f>
        <v>0</v>
      </c>
      <c r="AJ9" s="111"/>
      <c r="AK9" s="111">
        <f aca="true" t="shared" si="13" ref="AK9:AK20">(AF9+AI9)*AJ9</f>
        <v>0</v>
      </c>
      <c r="AL9" s="111">
        <f aca="true" t="shared" si="14" ref="AL9:AL21">(AF9+AI9)*20%</f>
        <v>0</v>
      </c>
      <c r="AM9" s="115">
        <f aca="true" t="shared" si="15" ref="AM9:AM20">AF9+AG9+AI9+AK9+AL9</f>
        <v>0</v>
      </c>
      <c r="AN9" s="111"/>
      <c r="AO9" s="111"/>
      <c r="AP9" s="111"/>
      <c r="AQ9" s="111">
        <f aca="true" t="shared" si="16" ref="AQ9:AQ20">AO9*AP9</f>
        <v>0</v>
      </c>
      <c r="AR9" s="111"/>
      <c r="AS9" s="111"/>
      <c r="AT9" s="111">
        <f aca="true" t="shared" si="17" ref="AT9:AT20">AQ9*AS9</f>
        <v>0</v>
      </c>
      <c r="AU9" s="111"/>
      <c r="AV9" s="111">
        <f aca="true" t="shared" si="18" ref="AV9:AV20">(AQ9+AT9)*AU9</f>
        <v>0</v>
      </c>
      <c r="AW9" s="111">
        <f aca="true" t="shared" si="19" ref="AW9:AW21">AQ9*50%</f>
        <v>0</v>
      </c>
      <c r="AX9" s="115">
        <f aca="true" t="shared" si="20" ref="AX9:AX20">AQ9+AR9+AT9+AV9+AW9</f>
        <v>0</v>
      </c>
      <c r="AY9" s="111">
        <v>11</v>
      </c>
      <c r="AZ9" s="116">
        <v>0.25</v>
      </c>
      <c r="BA9" s="111">
        <v>3152</v>
      </c>
      <c r="BB9" s="111">
        <f aca="true" t="shared" si="21" ref="BB9:BB20">AZ9*BA9</f>
        <v>788</v>
      </c>
      <c r="BC9" s="111"/>
      <c r="BD9" s="111"/>
      <c r="BE9" s="111">
        <f aca="true" t="shared" si="22" ref="BE9:BE20">BB9*BD9</f>
        <v>0</v>
      </c>
      <c r="BF9" s="114"/>
      <c r="BG9" s="111">
        <f aca="true" t="shared" si="23" ref="BG9:BG20">(BB9+BE9)*BF9</f>
        <v>0</v>
      </c>
      <c r="BH9" s="111">
        <f aca="true" t="shared" si="24" ref="BH9:BH21">(BB9+BE9)*20%</f>
        <v>157.60000000000002</v>
      </c>
      <c r="BI9" s="115">
        <f aca="true" t="shared" si="25" ref="BI9:BI20">BB9+BC9+BE9+BG9+BH9</f>
        <v>945.6</v>
      </c>
      <c r="BJ9" s="111">
        <v>11</v>
      </c>
      <c r="BK9" s="116">
        <v>0.25</v>
      </c>
      <c r="BL9" s="111">
        <v>3152</v>
      </c>
      <c r="BM9" s="111">
        <f aca="true" t="shared" si="26" ref="BM9:BM20">BK9*BL9</f>
        <v>788</v>
      </c>
      <c r="BN9" s="111"/>
      <c r="BO9" s="111"/>
      <c r="BP9" s="111">
        <f aca="true" t="shared" si="27" ref="BP9:BP20">BM9*BO9</f>
        <v>0</v>
      </c>
      <c r="BQ9" s="114"/>
      <c r="BR9" s="111">
        <f aca="true" t="shared" si="28" ref="BR9:BR20">(BM9+BP9)*BQ9</f>
        <v>0</v>
      </c>
      <c r="BS9" s="111">
        <f aca="true" t="shared" si="29" ref="BS9:BS21">(BM9+BP9)*20%</f>
        <v>157.60000000000002</v>
      </c>
      <c r="BT9" s="118">
        <f aca="true" t="shared" si="30" ref="BT9:BT20">BM9+BN9+BP9+BR9+BS9</f>
        <v>945.6</v>
      </c>
      <c r="BU9" s="111"/>
      <c r="BV9" s="111"/>
      <c r="BW9" s="111"/>
      <c r="BX9" s="111">
        <f aca="true" t="shared" si="31" ref="BX9:BX20">BV9*BW9</f>
        <v>0</v>
      </c>
      <c r="BY9" s="111"/>
      <c r="BZ9" s="111"/>
      <c r="CA9" s="111">
        <f aca="true" t="shared" si="32" ref="CA9:CA20">BX9*BZ9</f>
        <v>0</v>
      </c>
      <c r="CB9" s="111"/>
      <c r="CC9" s="111">
        <f aca="true" t="shared" si="33" ref="CC9:CC20">(BX9+CA9)*CB9</f>
        <v>0</v>
      </c>
      <c r="CD9" s="111">
        <f aca="true" t="shared" si="34" ref="CD9:CD19">(BX9+CA9)*20%</f>
        <v>0</v>
      </c>
      <c r="CE9" s="115">
        <f aca="true" t="shared" si="35" ref="CE9:CE20">BX9+BY9+CA9+CC9+CD9</f>
        <v>0</v>
      </c>
      <c r="CF9" s="111"/>
      <c r="CG9" s="111"/>
      <c r="CH9" s="111"/>
      <c r="CI9" s="111">
        <f aca="true" t="shared" si="36" ref="CI9:CI20">CG9*CH9</f>
        <v>0</v>
      </c>
      <c r="CJ9" s="111"/>
      <c r="CK9" s="111"/>
      <c r="CL9" s="111">
        <f aca="true" t="shared" si="37" ref="CL9:CL20">CI9*CK9</f>
        <v>0</v>
      </c>
      <c r="CM9" s="111"/>
      <c r="CN9" s="111">
        <f aca="true" t="shared" si="38" ref="CN9:CN20">(CI9+CL9)*CM9</f>
        <v>0</v>
      </c>
      <c r="CO9" s="111">
        <f aca="true" t="shared" si="39" ref="CO9:CO20">(CI9+CL9)*20%</f>
        <v>0</v>
      </c>
      <c r="CP9" s="115">
        <f aca="true" t="shared" si="40" ref="CP9:CP20">CI9+CJ9+CL9+CN9+CO9</f>
        <v>0</v>
      </c>
      <c r="CQ9" s="111"/>
      <c r="CR9" s="111"/>
      <c r="CS9" s="111"/>
      <c r="CT9" s="111">
        <f aca="true" t="shared" si="41" ref="CT9:CT21">CR9*CS9</f>
        <v>0</v>
      </c>
      <c r="CU9" s="111"/>
      <c r="CV9" s="111"/>
      <c r="CW9" s="111">
        <f aca="true" t="shared" si="42" ref="CW9:CW20">CT9*CV9</f>
        <v>0</v>
      </c>
      <c r="CX9" s="111"/>
      <c r="CY9" s="111">
        <f aca="true" t="shared" si="43" ref="CY9:CY21">(CT9+CW9)*CX9</f>
        <v>0</v>
      </c>
      <c r="CZ9" s="111">
        <f aca="true" t="shared" si="44" ref="CZ9:CZ19">(CT9+CW9)*20%</f>
        <v>0</v>
      </c>
      <c r="DA9" s="115">
        <f aca="true" t="shared" si="45" ref="DA9:DA21">CT9+CU9+CW9+CY9+CZ9</f>
        <v>0</v>
      </c>
      <c r="DB9" s="111">
        <f>H9+S9+AD9+AO9+AZ9+BK9+BV9+CG9+CR9</f>
        <v>1.5</v>
      </c>
      <c r="DC9" s="118">
        <f>Q9+AB9+BI9+BT9+CE9+CP9+DA9</f>
        <v>7699.200000000001</v>
      </c>
    </row>
    <row r="10" spans="1:107" s="119" customFormat="1" ht="26.25">
      <c r="A10" s="111">
        <v>3</v>
      </c>
      <c r="B10" s="111" t="s">
        <v>60</v>
      </c>
      <c r="C10" s="111">
        <v>4</v>
      </c>
      <c r="D10" s="111">
        <v>4</v>
      </c>
      <c r="E10" s="111">
        <v>29</v>
      </c>
      <c r="F10" s="112"/>
      <c r="G10" s="113">
        <v>14</v>
      </c>
      <c r="H10" s="111">
        <v>1</v>
      </c>
      <c r="I10" s="111"/>
      <c r="J10" s="111">
        <v>3872</v>
      </c>
      <c r="K10" s="111"/>
      <c r="L10" s="111"/>
      <c r="M10" s="111">
        <f t="shared" si="2"/>
        <v>0</v>
      </c>
      <c r="N10" s="114">
        <v>0.3</v>
      </c>
      <c r="O10" s="111">
        <f t="shared" si="3"/>
        <v>1161.6</v>
      </c>
      <c r="P10" s="111">
        <f t="shared" si="4"/>
        <v>774.4000000000001</v>
      </c>
      <c r="Q10" s="115">
        <f t="shared" si="5"/>
        <v>5808</v>
      </c>
      <c r="R10" s="111"/>
      <c r="S10" s="111"/>
      <c r="T10" s="111"/>
      <c r="U10" s="111">
        <f t="shared" si="6"/>
        <v>0</v>
      </c>
      <c r="V10" s="111"/>
      <c r="W10" s="111"/>
      <c r="X10" s="111">
        <f t="shared" si="7"/>
        <v>0</v>
      </c>
      <c r="Y10" s="111"/>
      <c r="Z10" s="111">
        <f t="shared" si="8"/>
        <v>0</v>
      </c>
      <c r="AA10" s="111">
        <f t="shared" si="9"/>
        <v>0</v>
      </c>
      <c r="AB10" s="115">
        <f t="shared" si="10"/>
        <v>0</v>
      </c>
      <c r="AC10" s="111"/>
      <c r="AD10" s="111"/>
      <c r="AE10" s="111"/>
      <c r="AF10" s="111">
        <f t="shared" si="11"/>
        <v>0</v>
      </c>
      <c r="AG10" s="111"/>
      <c r="AH10" s="111"/>
      <c r="AI10" s="111">
        <f t="shared" si="12"/>
        <v>0</v>
      </c>
      <c r="AJ10" s="111"/>
      <c r="AK10" s="111">
        <f t="shared" si="13"/>
        <v>0</v>
      </c>
      <c r="AL10" s="111">
        <f t="shared" si="14"/>
        <v>0</v>
      </c>
      <c r="AM10" s="115">
        <f t="shared" si="15"/>
        <v>0</v>
      </c>
      <c r="AN10" s="111"/>
      <c r="AO10" s="111"/>
      <c r="AP10" s="111"/>
      <c r="AQ10" s="111">
        <f t="shared" si="16"/>
        <v>0</v>
      </c>
      <c r="AR10" s="111"/>
      <c r="AS10" s="111"/>
      <c r="AT10" s="111">
        <f t="shared" si="17"/>
        <v>0</v>
      </c>
      <c r="AU10" s="111"/>
      <c r="AV10" s="111">
        <f t="shared" si="18"/>
        <v>0</v>
      </c>
      <c r="AW10" s="111">
        <f t="shared" si="19"/>
        <v>0</v>
      </c>
      <c r="AX10" s="115">
        <f t="shared" si="20"/>
        <v>0</v>
      </c>
      <c r="AY10" s="111">
        <v>11</v>
      </c>
      <c r="AZ10" s="116">
        <v>0.25</v>
      </c>
      <c r="BA10" s="111">
        <v>3152</v>
      </c>
      <c r="BB10" s="111">
        <f t="shared" si="21"/>
        <v>788</v>
      </c>
      <c r="BC10" s="111"/>
      <c r="BD10" s="111"/>
      <c r="BE10" s="111">
        <f t="shared" si="22"/>
        <v>0</v>
      </c>
      <c r="BF10" s="114">
        <v>0.1</v>
      </c>
      <c r="BG10" s="111">
        <f t="shared" si="23"/>
        <v>78.80000000000001</v>
      </c>
      <c r="BH10" s="111">
        <f t="shared" si="24"/>
        <v>157.60000000000002</v>
      </c>
      <c r="BI10" s="118">
        <f t="shared" si="25"/>
        <v>1024.4</v>
      </c>
      <c r="BJ10" s="111">
        <v>11</v>
      </c>
      <c r="BK10" s="116">
        <v>0.25</v>
      </c>
      <c r="BL10" s="111">
        <v>3152</v>
      </c>
      <c r="BM10" s="111">
        <f t="shared" si="26"/>
        <v>788</v>
      </c>
      <c r="BN10" s="111"/>
      <c r="BO10" s="111"/>
      <c r="BP10" s="111">
        <f t="shared" si="27"/>
        <v>0</v>
      </c>
      <c r="BQ10" s="114">
        <v>0.1</v>
      </c>
      <c r="BR10" s="111">
        <f t="shared" si="28"/>
        <v>78.80000000000001</v>
      </c>
      <c r="BS10" s="111">
        <f t="shared" si="29"/>
        <v>157.60000000000002</v>
      </c>
      <c r="BT10" s="118">
        <f t="shared" si="30"/>
        <v>1024.4</v>
      </c>
      <c r="BU10" s="111"/>
      <c r="BV10" s="111"/>
      <c r="BW10" s="111"/>
      <c r="BX10" s="111">
        <f t="shared" si="31"/>
        <v>0</v>
      </c>
      <c r="BY10" s="111"/>
      <c r="BZ10" s="111"/>
      <c r="CA10" s="111">
        <f t="shared" si="32"/>
        <v>0</v>
      </c>
      <c r="CB10" s="111"/>
      <c r="CC10" s="111">
        <f t="shared" si="33"/>
        <v>0</v>
      </c>
      <c r="CD10" s="111">
        <f t="shared" si="34"/>
        <v>0</v>
      </c>
      <c r="CE10" s="115">
        <f t="shared" si="35"/>
        <v>0</v>
      </c>
      <c r="CF10" s="111"/>
      <c r="CG10" s="111"/>
      <c r="CH10" s="111"/>
      <c r="CI10" s="111">
        <f t="shared" si="36"/>
        <v>0</v>
      </c>
      <c r="CJ10" s="111"/>
      <c r="CK10" s="111"/>
      <c r="CL10" s="111">
        <f t="shared" si="37"/>
        <v>0</v>
      </c>
      <c r="CM10" s="111"/>
      <c r="CN10" s="111">
        <f t="shared" si="38"/>
        <v>0</v>
      </c>
      <c r="CO10" s="111">
        <f t="shared" si="39"/>
        <v>0</v>
      </c>
      <c r="CP10" s="115">
        <f t="shared" si="40"/>
        <v>0</v>
      </c>
      <c r="CQ10" s="111"/>
      <c r="CR10" s="111"/>
      <c r="CS10" s="111"/>
      <c r="CT10" s="111">
        <f t="shared" si="41"/>
        <v>0</v>
      </c>
      <c r="CU10" s="111"/>
      <c r="CV10" s="111"/>
      <c r="CW10" s="111">
        <f t="shared" si="42"/>
        <v>0</v>
      </c>
      <c r="CX10" s="111"/>
      <c r="CY10" s="111">
        <f t="shared" si="43"/>
        <v>0</v>
      </c>
      <c r="CZ10" s="111">
        <f t="shared" si="44"/>
        <v>0</v>
      </c>
      <c r="DA10" s="115">
        <f t="shared" si="45"/>
        <v>0</v>
      </c>
      <c r="DB10" s="111">
        <f>H10+S10+AD10+AO10+AZ10+BK10+BV10+CG10+CR10</f>
        <v>1.5</v>
      </c>
      <c r="DC10" s="118">
        <f>Q10+AB10+BI10+BT10+CE10+CP10+DA10</f>
        <v>7856.799999999999</v>
      </c>
    </row>
    <row r="11" spans="1:107" s="119" customFormat="1" ht="26.25">
      <c r="A11" s="111">
        <v>4</v>
      </c>
      <c r="B11" s="111" t="s">
        <v>23</v>
      </c>
      <c r="C11" s="111">
        <v>7</v>
      </c>
      <c r="D11" s="111">
        <v>7</v>
      </c>
      <c r="E11" s="111">
        <v>48</v>
      </c>
      <c r="F11" s="112"/>
      <c r="G11" s="113">
        <v>15</v>
      </c>
      <c r="H11" s="111">
        <v>1</v>
      </c>
      <c r="I11" s="111"/>
      <c r="J11" s="111">
        <v>4128</v>
      </c>
      <c r="K11" s="111"/>
      <c r="L11" s="111"/>
      <c r="M11" s="111">
        <f t="shared" si="2"/>
        <v>0</v>
      </c>
      <c r="N11" s="114">
        <v>0.1</v>
      </c>
      <c r="O11" s="111">
        <f t="shared" si="3"/>
        <v>412.8</v>
      </c>
      <c r="P11" s="111">
        <f t="shared" si="4"/>
        <v>825.6</v>
      </c>
      <c r="Q11" s="115">
        <f t="shared" si="5"/>
        <v>5366.400000000001</v>
      </c>
      <c r="R11" s="111"/>
      <c r="S11" s="111">
        <v>0.5</v>
      </c>
      <c r="T11" s="111">
        <f>J11*95%</f>
        <v>3921.6</v>
      </c>
      <c r="U11" s="111">
        <f t="shared" si="6"/>
        <v>1960.8</v>
      </c>
      <c r="V11" s="111"/>
      <c r="W11" s="111"/>
      <c r="X11" s="111">
        <f t="shared" si="7"/>
        <v>0</v>
      </c>
      <c r="Y11" s="114">
        <v>0.2</v>
      </c>
      <c r="Z11" s="111">
        <f t="shared" si="8"/>
        <v>392.16</v>
      </c>
      <c r="AA11" s="111">
        <f t="shared" si="9"/>
        <v>392.16</v>
      </c>
      <c r="AB11" s="115">
        <f t="shared" si="10"/>
        <v>2745.12</v>
      </c>
      <c r="AC11" s="111"/>
      <c r="AD11" s="111"/>
      <c r="AE11" s="111"/>
      <c r="AF11" s="111">
        <f t="shared" si="11"/>
        <v>0</v>
      </c>
      <c r="AG11" s="111"/>
      <c r="AH11" s="111"/>
      <c r="AI11" s="111">
        <f t="shared" si="12"/>
        <v>0</v>
      </c>
      <c r="AJ11" s="111"/>
      <c r="AK11" s="111">
        <f t="shared" si="13"/>
        <v>0</v>
      </c>
      <c r="AL11" s="111">
        <f t="shared" si="14"/>
        <v>0</v>
      </c>
      <c r="AM11" s="115">
        <f t="shared" si="15"/>
        <v>0</v>
      </c>
      <c r="AN11" s="111"/>
      <c r="AO11" s="111"/>
      <c r="AP11" s="111"/>
      <c r="AQ11" s="111">
        <f t="shared" si="16"/>
        <v>0</v>
      </c>
      <c r="AR11" s="111"/>
      <c r="AS11" s="111"/>
      <c r="AT11" s="111">
        <f t="shared" si="17"/>
        <v>0</v>
      </c>
      <c r="AU11" s="111"/>
      <c r="AV11" s="111">
        <f t="shared" si="18"/>
        <v>0</v>
      </c>
      <c r="AW11" s="111">
        <f t="shared" si="19"/>
        <v>0</v>
      </c>
      <c r="AX11" s="115">
        <f t="shared" si="20"/>
        <v>0</v>
      </c>
      <c r="AY11" s="111">
        <v>11</v>
      </c>
      <c r="AZ11" s="116">
        <v>0.25</v>
      </c>
      <c r="BA11" s="111">
        <v>3152</v>
      </c>
      <c r="BB11" s="111">
        <f t="shared" si="21"/>
        <v>788</v>
      </c>
      <c r="BC11" s="111"/>
      <c r="BD11" s="111"/>
      <c r="BE11" s="111">
        <f t="shared" si="22"/>
        <v>0</v>
      </c>
      <c r="BF11" s="114">
        <v>0.1</v>
      </c>
      <c r="BG11" s="117">
        <f t="shared" si="23"/>
        <v>78.80000000000001</v>
      </c>
      <c r="BH11" s="111">
        <f t="shared" si="24"/>
        <v>157.60000000000002</v>
      </c>
      <c r="BI11" s="118">
        <f t="shared" si="25"/>
        <v>1024.4</v>
      </c>
      <c r="BJ11" s="111"/>
      <c r="BK11" s="116">
        <v>0.25</v>
      </c>
      <c r="BL11" s="111">
        <v>3152</v>
      </c>
      <c r="BM11" s="111">
        <f t="shared" si="26"/>
        <v>788</v>
      </c>
      <c r="BN11" s="111"/>
      <c r="BO11" s="111"/>
      <c r="BP11" s="111">
        <f t="shared" si="27"/>
        <v>0</v>
      </c>
      <c r="BQ11" s="114">
        <v>0.1</v>
      </c>
      <c r="BR11" s="117">
        <f t="shared" si="28"/>
        <v>78.80000000000001</v>
      </c>
      <c r="BS11" s="111">
        <f t="shared" si="29"/>
        <v>157.60000000000002</v>
      </c>
      <c r="BT11" s="118">
        <f t="shared" si="30"/>
        <v>1024.4</v>
      </c>
      <c r="BU11" s="111">
        <v>11</v>
      </c>
      <c r="BV11" s="111">
        <v>0.25</v>
      </c>
      <c r="BW11" s="111">
        <v>3152</v>
      </c>
      <c r="BX11" s="111">
        <f t="shared" si="31"/>
        <v>788</v>
      </c>
      <c r="BY11" s="111"/>
      <c r="BZ11" s="111"/>
      <c r="CA11" s="111">
        <f t="shared" si="32"/>
        <v>0</v>
      </c>
      <c r="CB11" s="114">
        <v>0.1</v>
      </c>
      <c r="CC11" s="111">
        <f t="shared" si="33"/>
        <v>78.80000000000001</v>
      </c>
      <c r="CD11" s="111">
        <f>(BX11+CA11)*20%</f>
        <v>157.60000000000002</v>
      </c>
      <c r="CE11" s="115">
        <f t="shared" si="35"/>
        <v>1024.4</v>
      </c>
      <c r="CF11" s="111">
        <v>9</v>
      </c>
      <c r="CG11" s="111"/>
      <c r="CH11" s="111">
        <v>2768</v>
      </c>
      <c r="CI11" s="111">
        <f t="shared" si="36"/>
        <v>0</v>
      </c>
      <c r="CJ11" s="114"/>
      <c r="CK11" s="111"/>
      <c r="CL11" s="111">
        <f t="shared" si="37"/>
        <v>0</v>
      </c>
      <c r="CM11" s="114">
        <v>0.1</v>
      </c>
      <c r="CN11" s="117">
        <f t="shared" si="38"/>
        <v>0</v>
      </c>
      <c r="CO11" s="117">
        <f>(CI11+CL11)*20%</f>
        <v>0</v>
      </c>
      <c r="CP11" s="115">
        <f t="shared" si="40"/>
        <v>0</v>
      </c>
      <c r="CQ11" s="111">
        <v>9</v>
      </c>
      <c r="CR11" s="111">
        <v>0.75</v>
      </c>
      <c r="CS11" s="111">
        <v>2768</v>
      </c>
      <c r="CT11" s="111">
        <f t="shared" si="41"/>
        <v>2076</v>
      </c>
      <c r="CU11" s="111"/>
      <c r="CV11" s="111"/>
      <c r="CW11" s="111">
        <f t="shared" si="42"/>
        <v>0</v>
      </c>
      <c r="CX11" s="114">
        <v>0.1</v>
      </c>
      <c r="CY11" s="111">
        <f t="shared" si="43"/>
        <v>207.60000000000002</v>
      </c>
      <c r="CZ11" s="111">
        <f>(CT11+CW11)*20%</f>
        <v>415.20000000000005</v>
      </c>
      <c r="DA11" s="115">
        <f t="shared" si="45"/>
        <v>2698.8</v>
      </c>
      <c r="DB11" s="111">
        <f>H11+S11+AD11+AZ11+BK11+BV11+CG11+CR11+CR13+CG13+CR12</f>
        <v>4.25</v>
      </c>
      <c r="DC11" s="118">
        <f>Q11+BI11+BT11+CE11+CP11+DA11+DA13+AB11+DA12</f>
        <v>18581.120000000003</v>
      </c>
    </row>
    <row r="12" spans="1:107" s="119" customFormat="1" ht="26.25">
      <c r="A12" s="111"/>
      <c r="B12" s="111"/>
      <c r="C12" s="111"/>
      <c r="D12" s="111"/>
      <c r="E12" s="111"/>
      <c r="F12" s="112"/>
      <c r="G12" s="113"/>
      <c r="H12" s="111"/>
      <c r="I12" s="111"/>
      <c r="J12" s="111"/>
      <c r="K12" s="111"/>
      <c r="L12" s="111"/>
      <c r="M12" s="111"/>
      <c r="N12" s="114"/>
      <c r="O12" s="111"/>
      <c r="P12" s="111"/>
      <c r="Q12" s="115"/>
      <c r="R12" s="111"/>
      <c r="S12" s="111"/>
      <c r="T12" s="111"/>
      <c r="U12" s="111"/>
      <c r="V12" s="111"/>
      <c r="W12" s="111"/>
      <c r="X12" s="111"/>
      <c r="Y12" s="114"/>
      <c r="Z12" s="111"/>
      <c r="AA12" s="111"/>
      <c r="AB12" s="115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5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5"/>
      <c r="AY12" s="111"/>
      <c r="AZ12" s="116"/>
      <c r="BA12" s="111"/>
      <c r="BB12" s="111"/>
      <c r="BC12" s="111"/>
      <c r="BD12" s="111"/>
      <c r="BE12" s="111"/>
      <c r="BF12" s="114"/>
      <c r="BG12" s="117"/>
      <c r="BH12" s="111"/>
      <c r="BI12" s="118"/>
      <c r="BJ12" s="111"/>
      <c r="BK12" s="116"/>
      <c r="BL12" s="111"/>
      <c r="BM12" s="111"/>
      <c r="BN12" s="111"/>
      <c r="BO12" s="111"/>
      <c r="BP12" s="111"/>
      <c r="BQ12" s="114"/>
      <c r="BR12" s="117"/>
      <c r="BS12" s="111"/>
      <c r="BT12" s="118"/>
      <c r="BU12" s="111"/>
      <c r="BV12" s="111"/>
      <c r="BW12" s="111"/>
      <c r="BX12" s="111"/>
      <c r="BY12" s="111"/>
      <c r="BZ12" s="111"/>
      <c r="CA12" s="111"/>
      <c r="CB12" s="114"/>
      <c r="CC12" s="111"/>
      <c r="CD12" s="111"/>
      <c r="CE12" s="115"/>
      <c r="CF12" s="111">
        <v>9</v>
      </c>
      <c r="CG12" s="111"/>
      <c r="CH12" s="111">
        <v>2768</v>
      </c>
      <c r="CI12" s="111">
        <f t="shared" si="36"/>
        <v>0</v>
      </c>
      <c r="CJ12" s="111"/>
      <c r="CK12" s="111"/>
      <c r="CL12" s="111"/>
      <c r="CM12" s="114"/>
      <c r="CN12" s="117">
        <f t="shared" si="38"/>
        <v>0</v>
      </c>
      <c r="CO12" s="117">
        <f>(CI12+CL12)*20%</f>
        <v>0</v>
      </c>
      <c r="CP12" s="115">
        <f t="shared" si="40"/>
        <v>0</v>
      </c>
      <c r="CQ12" s="111">
        <v>9</v>
      </c>
      <c r="CR12" s="111">
        <v>0.75</v>
      </c>
      <c r="CS12" s="111">
        <v>2768</v>
      </c>
      <c r="CT12" s="111">
        <f t="shared" si="41"/>
        <v>2076</v>
      </c>
      <c r="CU12" s="111"/>
      <c r="CV12" s="111"/>
      <c r="CW12" s="111"/>
      <c r="CX12" s="114"/>
      <c r="CY12" s="111">
        <f t="shared" si="43"/>
        <v>0</v>
      </c>
      <c r="CZ12" s="111">
        <f>(CT12+CW12)*20%</f>
        <v>415.20000000000005</v>
      </c>
      <c r="DA12" s="115">
        <f t="shared" si="45"/>
        <v>2491.2</v>
      </c>
      <c r="DB12" s="111"/>
      <c r="DC12" s="118"/>
    </row>
    <row r="13" spans="1:107" s="119" customFormat="1" ht="26.25">
      <c r="A13" s="111"/>
      <c r="B13" s="111"/>
      <c r="C13" s="111"/>
      <c r="D13" s="111"/>
      <c r="E13" s="111"/>
      <c r="F13" s="112"/>
      <c r="G13" s="113"/>
      <c r="H13" s="111"/>
      <c r="I13" s="111"/>
      <c r="J13" s="111"/>
      <c r="K13" s="111"/>
      <c r="L13" s="111"/>
      <c r="M13" s="111"/>
      <c r="N13" s="114"/>
      <c r="O13" s="111"/>
      <c r="P13" s="111"/>
      <c r="Q13" s="115"/>
      <c r="R13" s="111"/>
      <c r="S13" s="111"/>
      <c r="T13" s="111"/>
      <c r="U13" s="111"/>
      <c r="V13" s="111"/>
      <c r="W13" s="111"/>
      <c r="X13" s="111"/>
      <c r="Y13" s="111"/>
      <c r="Z13" s="111"/>
      <c r="AA13" s="111">
        <f t="shared" si="9"/>
        <v>0</v>
      </c>
      <c r="AB13" s="115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>
        <f t="shared" si="14"/>
        <v>0</v>
      </c>
      <c r="AM13" s="115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>
        <f t="shared" si="19"/>
        <v>0</v>
      </c>
      <c r="AX13" s="115"/>
      <c r="AY13" s="111"/>
      <c r="AZ13" s="116"/>
      <c r="BA13" s="111"/>
      <c r="BB13" s="111"/>
      <c r="BC13" s="111"/>
      <c r="BD13" s="111"/>
      <c r="BE13" s="111"/>
      <c r="BF13" s="114"/>
      <c r="BG13" s="117"/>
      <c r="BH13" s="111">
        <f t="shared" si="24"/>
        <v>0</v>
      </c>
      <c r="BI13" s="115"/>
      <c r="BJ13" s="111"/>
      <c r="BK13" s="116"/>
      <c r="BL13" s="111"/>
      <c r="BM13" s="111"/>
      <c r="BN13" s="111"/>
      <c r="BO13" s="111"/>
      <c r="BP13" s="111"/>
      <c r="BQ13" s="114"/>
      <c r="BR13" s="117"/>
      <c r="BS13" s="111">
        <f t="shared" si="29"/>
        <v>0</v>
      </c>
      <c r="BT13" s="118"/>
      <c r="BU13" s="111"/>
      <c r="BV13" s="111"/>
      <c r="BW13" s="111"/>
      <c r="BX13" s="111"/>
      <c r="BY13" s="111"/>
      <c r="BZ13" s="111"/>
      <c r="CA13" s="111"/>
      <c r="CB13" s="114"/>
      <c r="CC13" s="111"/>
      <c r="CD13" s="111"/>
      <c r="CE13" s="115"/>
      <c r="CF13" s="111">
        <v>12</v>
      </c>
      <c r="CG13" s="120"/>
      <c r="CH13" s="111">
        <v>3152</v>
      </c>
      <c r="CI13" s="111">
        <f t="shared" si="36"/>
        <v>0</v>
      </c>
      <c r="CJ13" s="111"/>
      <c r="CK13" s="111"/>
      <c r="CL13" s="111"/>
      <c r="CM13" s="114">
        <v>0.2</v>
      </c>
      <c r="CN13" s="117">
        <f t="shared" si="38"/>
        <v>0</v>
      </c>
      <c r="CO13" s="117">
        <f>(CI13+CL13)*20%</f>
        <v>0</v>
      </c>
      <c r="CP13" s="115">
        <f t="shared" si="40"/>
        <v>0</v>
      </c>
      <c r="CQ13" s="120">
        <v>12</v>
      </c>
      <c r="CR13" s="120">
        <v>0.5</v>
      </c>
      <c r="CS13" s="111">
        <v>3152</v>
      </c>
      <c r="CT13" s="111">
        <f t="shared" si="41"/>
        <v>1576</v>
      </c>
      <c r="CU13" s="111"/>
      <c r="CV13" s="111"/>
      <c r="CW13" s="111"/>
      <c r="CX13" s="114">
        <v>0.2</v>
      </c>
      <c r="CY13" s="111">
        <f t="shared" si="43"/>
        <v>315.20000000000005</v>
      </c>
      <c r="CZ13" s="111">
        <f>(CT13+CW13)*20%</f>
        <v>315.20000000000005</v>
      </c>
      <c r="DA13" s="115">
        <f t="shared" si="45"/>
        <v>2206.4</v>
      </c>
      <c r="DB13" s="111"/>
      <c r="DC13" s="118"/>
    </row>
    <row r="14" spans="1:107" s="119" customFormat="1" ht="26.25">
      <c r="A14" s="111">
        <v>5</v>
      </c>
      <c r="B14" s="111" t="s">
        <v>62</v>
      </c>
      <c r="C14" s="111">
        <v>5</v>
      </c>
      <c r="D14" s="111">
        <v>5</v>
      </c>
      <c r="E14" s="111">
        <v>45</v>
      </c>
      <c r="F14" s="112"/>
      <c r="G14" s="113">
        <v>15</v>
      </c>
      <c r="H14" s="111">
        <v>1</v>
      </c>
      <c r="I14" s="111"/>
      <c r="J14" s="111">
        <v>4128</v>
      </c>
      <c r="K14" s="111"/>
      <c r="L14" s="111"/>
      <c r="M14" s="111">
        <f t="shared" si="2"/>
        <v>0</v>
      </c>
      <c r="N14" s="114">
        <v>0.3</v>
      </c>
      <c r="O14" s="111">
        <f t="shared" si="3"/>
        <v>1238.3999999999999</v>
      </c>
      <c r="P14" s="111">
        <f t="shared" si="4"/>
        <v>825.6</v>
      </c>
      <c r="Q14" s="115">
        <f t="shared" si="5"/>
        <v>6192</v>
      </c>
      <c r="R14" s="111"/>
      <c r="S14" s="111"/>
      <c r="T14" s="111"/>
      <c r="U14" s="111">
        <f t="shared" si="6"/>
        <v>0</v>
      </c>
      <c r="V14" s="111"/>
      <c r="W14" s="111"/>
      <c r="X14" s="111">
        <f t="shared" si="7"/>
        <v>0</v>
      </c>
      <c r="Y14" s="111"/>
      <c r="Z14" s="111">
        <f t="shared" si="8"/>
        <v>0</v>
      </c>
      <c r="AA14" s="111">
        <f t="shared" si="9"/>
        <v>0</v>
      </c>
      <c r="AB14" s="115">
        <f t="shared" si="10"/>
        <v>0</v>
      </c>
      <c r="AC14" s="111"/>
      <c r="AD14" s="111"/>
      <c r="AE14" s="111"/>
      <c r="AF14" s="111">
        <f t="shared" si="11"/>
        <v>0</v>
      </c>
      <c r="AG14" s="111"/>
      <c r="AH14" s="111"/>
      <c r="AI14" s="111">
        <f t="shared" si="12"/>
        <v>0</v>
      </c>
      <c r="AJ14" s="111"/>
      <c r="AK14" s="111">
        <f t="shared" si="13"/>
        <v>0</v>
      </c>
      <c r="AL14" s="111">
        <f t="shared" si="14"/>
        <v>0</v>
      </c>
      <c r="AM14" s="115">
        <f t="shared" si="15"/>
        <v>0</v>
      </c>
      <c r="AN14" s="111"/>
      <c r="AO14" s="111"/>
      <c r="AP14" s="111"/>
      <c r="AQ14" s="111">
        <f t="shared" si="16"/>
        <v>0</v>
      </c>
      <c r="AR14" s="111"/>
      <c r="AS14" s="111"/>
      <c r="AT14" s="111">
        <f t="shared" si="17"/>
        <v>0</v>
      </c>
      <c r="AU14" s="111"/>
      <c r="AV14" s="111">
        <f t="shared" si="18"/>
        <v>0</v>
      </c>
      <c r="AW14" s="111">
        <f t="shared" si="19"/>
        <v>0</v>
      </c>
      <c r="AX14" s="115">
        <f t="shared" si="20"/>
        <v>0</v>
      </c>
      <c r="AY14" s="111">
        <v>11</v>
      </c>
      <c r="AZ14" s="134">
        <v>0.25</v>
      </c>
      <c r="BA14" s="111">
        <v>3152</v>
      </c>
      <c r="BB14" s="111">
        <f t="shared" si="21"/>
        <v>788</v>
      </c>
      <c r="BC14" s="114"/>
      <c r="BD14" s="111"/>
      <c r="BE14" s="111">
        <f t="shared" si="22"/>
        <v>0</v>
      </c>
      <c r="BF14" s="114">
        <v>0.1</v>
      </c>
      <c r="BG14" s="117">
        <f t="shared" si="23"/>
        <v>78.80000000000001</v>
      </c>
      <c r="BH14" s="111">
        <f t="shared" si="24"/>
        <v>157.60000000000002</v>
      </c>
      <c r="BI14" s="118">
        <f t="shared" si="25"/>
        <v>1024.4</v>
      </c>
      <c r="BJ14" s="111">
        <v>11</v>
      </c>
      <c r="BK14" s="134">
        <v>0.25</v>
      </c>
      <c r="BL14" s="111">
        <v>3152</v>
      </c>
      <c r="BM14" s="111">
        <f t="shared" si="26"/>
        <v>788</v>
      </c>
      <c r="BN14" s="111"/>
      <c r="BO14" s="111"/>
      <c r="BP14" s="111">
        <f t="shared" si="27"/>
        <v>0</v>
      </c>
      <c r="BQ14" s="114">
        <v>0.1</v>
      </c>
      <c r="BR14" s="117">
        <f t="shared" si="28"/>
        <v>78.80000000000001</v>
      </c>
      <c r="BS14" s="111">
        <f t="shared" si="29"/>
        <v>157.60000000000002</v>
      </c>
      <c r="BT14" s="118">
        <f t="shared" si="30"/>
        <v>1024.4</v>
      </c>
      <c r="BU14" s="111"/>
      <c r="BV14" s="111"/>
      <c r="BW14" s="111"/>
      <c r="BX14" s="111">
        <f t="shared" si="31"/>
        <v>0</v>
      </c>
      <c r="BY14" s="111"/>
      <c r="BZ14" s="111"/>
      <c r="CA14" s="111">
        <f t="shared" si="32"/>
        <v>0</v>
      </c>
      <c r="CB14" s="111"/>
      <c r="CC14" s="111">
        <f t="shared" si="33"/>
        <v>0</v>
      </c>
      <c r="CD14" s="111">
        <f t="shared" si="34"/>
        <v>0</v>
      </c>
      <c r="CE14" s="115"/>
      <c r="CF14" s="111"/>
      <c r="CG14" s="111"/>
      <c r="CH14" s="111"/>
      <c r="CI14" s="111">
        <f t="shared" si="36"/>
        <v>0</v>
      </c>
      <c r="CJ14" s="111"/>
      <c r="CK14" s="111"/>
      <c r="CL14" s="111">
        <f t="shared" si="37"/>
        <v>0</v>
      </c>
      <c r="CM14" s="111"/>
      <c r="CN14" s="111">
        <f t="shared" si="38"/>
        <v>0</v>
      </c>
      <c r="CO14" s="111">
        <f t="shared" si="39"/>
        <v>0</v>
      </c>
      <c r="CP14" s="115">
        <f t="shared" si="40"/>
        <v>0</v>
      </c>
      <c r="CQ14" s="111"/>
      <c r="CR14" s="111"/>
      <c r="CS14" s="113"/>
      <c r="CT14" s="111">
        <f t="shared" si="41"/>
        <v>0</v>
      </c>
      <c r="CU14" s="111"/>
      <c r="CV14" s="111"/>
      <c r="CW14" s="111">
        <f t="shared" si="42"/>
        <v>0</v>
      </c>
      <c r="CX14" s="111"/>
      <c r="CY14" s="111">
        <f t="shared" si="43"/>
        <v>0</v>
      </c>
      <c r="CZ14" s="111">
        <f t="shared" si="44"/>
        <v>0</v>
      </c>
      <c r="DA14" s="115">
        <f t="shared" si="45"/>
        <v>0</v>
      </c>
      <c r="DB14" s="111">
        <f>H14+S14+AD14+AO14+AZ14+BK14+BV14+CG14+CR14</f>
        <v>1.5</v>
      </c>
      <c r="DC14" s="115">
        <f>Q14+AB14+BI14+BT14+CE14+CP14+DA14</f>
        <v>8240.8</v>
      </c>
    </row>
    <row r="15" spans="1:107" ht="26.25">
      <c r="A15" s="8"/>
      <c r="B15" s="8"/>
      <c r="C15" s="8"/>
      <c r="D15" s="8"/>
      <c r="E15" s="8"/>
      <c r="F15" s="9"/>
      <c r="G15" s="10"/>
      <c r="H15" s="8"/>
      <c r="I15" s="8"/>
      <c r="J15" s="8"/>
      <c r="K15" s="8"/>
      <c r="L15" s="8"/>
      <c r="M15" s="8">
        <f t="shared" si="2"/>
        <v>0</v>
      </c>
      <c r="N15" s="65"/>
      <c r="O15" s="8">
        <f t="shared" si="3"/>
        <v>0</v>
      </c>
      <c r="P15" s="8">
        <f t="shared" si="4"/>
        <v>0</v>
      </c>
      <c r="Q15" s="67">
        <f t="shared" si="5"/>
        <v>0</v>
      </c>
      <c r="R15" s="8"/>
      <c r="S15" s="8"/>
      <c r="T15" s="8"/>
      <c r="U15" s="66">
        <f t="shared" si="6"/>
        <v>0</v>
      </c>
      <c r="V15" s="8"/>
      <c r="W15" s="8"/>
      <c r="X15" s="8">
        <f t="shared" si="7"/>
        <v>0</v>
      </c>
      <c r="Y15" s="65"/>
      <c r="Z15" s="66">
        <f t="shared" si="8"/>
        <v>0</v>
      </c>
      <c r="AA15" s="8">
        <f t="shared" si="9"/>
        <v>0</v>
      </c>
      <c r="AB15" s="69">
        <f t="shared" si="10"/>
        <v>0</v>
      </c>
      <c r="AC15" s="8"/>
      <c r="AD15" s="8"/>
      <c r="AE15" s="8"/>
      <c r="AF15" s="8">
        <f t="shared" si="11"/>
        <v>0</v>
      </c>
      <c r="AG15" s="8"/>
      <c r="AH15" s="8"/>
      <c r="AI15" s="8">
        <f t="shared" si="12"/>
        <v>0</v>
      </c>
      <c r="AJ15" s="8"/>
      <c r="AK15" s="8">
        <f t="shared" si="13"/>
        <v>0</v>
      </c>
      <c r="AL15" s="8">
        <f t="shared" si="14"/>
        <v>0</v>
      </c>
      <c r="AM15" s="67">
        <f t="shared" si="15"/>
        <v>0</v>
      </c>
      <c r="AN15" s="8"/>
      <c r="AO15" s="8"/>
      <c r="AP15" s="8"/>
      <c r="AQ15" s="8">
        <f t="shared" si="16"/>
        <v>0</v>
      </c>
      <c r="AR15" s="8"/>
      <c r="AS15" s="8"/>
      <c r="AT15" s="8">
        <f t="shared" si="17"/>
        <v>0</v>
      </c>
      <c r="AU15" s="8"/>
      <c r="AV15" s="8">
        <f t="shared" si="18"/>
        <v>0</v>
      </c>
      <c r="AW15" s="8">
        <f t="shared" si="19"/>
        <v>0</v>
      </c>
      <c r="AX15" s="67">
        <f t="shared" si="20"/>
        <v>0</v>
      </c>
      <c r="AY15" s="8"/>
      <c r="AZ15" s="8"/>
      <c r="BA15" s="8"/>
      <c r="BB15" s="8">
        <v>0</v>
      </c>
      <c r="BC15" s="8"/>
      <c r="BD15" s="8"/>
      <c r="BE15" s="8">
        <f t="shared" si="22"/>
        <v>0</v>
      </c>
      <c r="BF15" s="65"/>
      <c r="BG15" s="66"/>
      <c r="BH15" s="8">
        <f t="shared" si="24"/>
        <v>0</v>
      </c>
      <c r="BI15" s="69"/>
      <c r="BJ15" s="8"/>
      <c r="BK15" s="8"/>
      <c r="BL15" s="8"/>
      <c r="BM15" s="8"/>
      <c r="BN15" s="8"/>
      <c r="BO15" s="8"/>
      <c r="BP15" s="8">
        <f t="shared" si="27"/>
        <v>0</v>
      </c>
      <c r="BQ15" s="65"/>
      <c r="BR15" s="66"/>
      <c r="BS15" s="8">
        <f t="shared" si="29"/>
        <v>0</v>
      </c>
      <c r="BT15" s="69"/>
      <c r="BU15" s="8"/>
      <c r="BV15" s="8"/>
      <c r="BW15" s="8"/>
      <c r="BX15" s="8"/>
      <c r="BY15" s="8"/>
      <c r="BZ15" s="8"/>
      <c r="CA15" s="8">
        <f t="shared" si="32"/>
        <v>0</v>
      </c>
      <c r="CB15" s="65"/>
      <c r="CC15" s="8"/>
      <c r="CD15" s="8"/>
      <c r="CE15" s="67"/>
      <c r="CF15" s="8"/>
      <c r="CG15" s="8"/>
      <c r="CH15" s="8"/>
      <c r="CI15" s="8"/>
      <c r="CJ15" s="8"/>
      <c r="CK15" s="8"/>
      <c r="CL15" s="8">
        <f t="shared" si="37"/>
        <v>0</v>
      </c>
      <c r="CM15" s="8"/>
      <c r="CN15" s="8"/>
      <c r="CO15" s="8"/>
      <c r="CP15" s="67"/>
      <c r="CQ15" s="8"/>
      <c r="CR15" s="8"/>
      <c r="CS15" s="10"/>
      <c r="CT15" s="8"/>
      <c r="CU15" s="8"/>
      <c r="CV15" s="8"/>
      <c r="CW15" s="8">
        <f t="shared" si="42"/>
        <v>0</v>
      </c>
      <c r="CX15" s="65"/>
      <c r="CY15" s="8"/>
      <c r="CZ15" s="8"/>
      <c r="DA15" s="67"/>
      <c r="DB15" s="8"/>
      <c r="DC15" s="69"/>
    </row>
    <row r="16" spans="1:107" ht="26.25">
      <c r="A16" s="8"/>
      <c r="B16" s="8"/>
      <c r="C16" s="8"/>
      <c r="D16" s="8"/>
      <c r="E16" s="8"/>
      <c r="F16" s="9"/>
      <c r="G16" s="10"/>
      <c r="H16" s="8"/>
      <c r="I16" s="8"/>
      <c r="J16" s="8"/>
      <c r="K16" s="8"/>
      <c r="L16" s="8"/>
      <c r="M16" s="8"/>
      <c r="N16" s="65"/>
      <c r="O16" s="8"/>
      <c r="P16" s="8"/>
      <c r="Q16" s="67"/>
      <c r="R16" s="8"/>
      <c r="S16" s="8"/>
      <c r="T16" s="8"/>
      <c r="U16" s="8"/>
      <c r="V16" s="8"/>
      <c r="W16" s="8"/>
      <c r="X16" s="8"/>
      <c r="Y16" s="8"/>
      <c r="Z16" s="8"/>
      <c r="AA16" s="8"/>
      <c r="AB16" s="6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67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67"/>
      <c r="AY16" s="8"/>
      <c r="AZ16" s="82"/>
      <c r="BA16" s="8"/>
      <c r="BB16" s="8"/>
      <c r="BC16" s="65"/>
      <c r="BD16" s="8"/>
      <c r="BE16" s="8"/>
      <c r="BF16" s="65"/>
      <c r="BG16" s="66"/>
      <c r="BH16" s="8"/>
      <c r="BI16" s="69"/>
      <c r="BJ16" s="8"/>
      <c r="BK16" s="82"/>
      <c r="BL16" s="8"/>
      <c r="BM16" s="8"/>
      <c r="BN16" s="8"/>
      <c r="BO16" s="8"/>
      <c r="BP16" s="8"/>
      <c r="BQ16" s="65"/>
      <c r="BR16" s="66"/>
      <c r="BS16" s="8"/>
      <c r="BT16" s="69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67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67"/>
      <c r="CQ16" s="8"/>
      <c r="CR16" s="8"/>
      <c r="CS16" s="10"/>
      <c r="CT16" s="8"/>
      <c r="CU16" s="8"/>
      <c r="CV16" s="8"/>
      <c r="CW16" s="8"/>
      <c r="CX16" s="65"/>
      <c r="CY16" s="8"/>
      <c r="CZ16" s="8"/>
      <c r="DA16" s="67"/>
      <c r="DB16" s="8"/>
      <c r="DC16" s="69"/>
    </row>
    <row r="17" spans="1:107" ht="26.25">
      <c r="A17" s="8"/>
      <c r="B17" s="8"/>
      <c r="C17" s="8"/>
      <c r="D17" s="8"/>
      <c r="E17" s="8"/>
      <c r="F17" s="9"/>
      <c r="G17" s="10"/>
      <c r="H17" s="8"/>
      <c r="I17" s="8"/>
      <c r="J17" s="8"/>
      <c r="K17" s="8"/>
      <c r="L17" s="8"/>
      <c r="M17" s="8"/>
      <c r="N17" s="65"/>
      <c r="O17" s="8"/>
      <c r="P17" s="8"/>
      <c r="Q17" s="67"/>
      <c r="R17" s="8"/>
      <c r="S17" s="8"/>
      <c r="T17" s="8"/>
      <c r="U17" s="8"/>
      <c r="V17" s="8"/>
      <c r="W17" s="8"/>
      <c r="X17" s="8"/>
      <c r="Y17" s="65"/>
      <c r="Z17" s="66"/>
      <c r="AA17" s="8"/>
      <c r="AB17" s="69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67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67"/>
      <c r="AY17" s="8"/>
      <c r="AZ17" s="8"/>
      <c r="BA17" s="8"/>
      <c r="BB17" s="8"/>
      <c r="BC17" s="8"/>
      <c r="BD17" s="8"/>
      <c r="BE17" s="8"/>
      <c r="BF17" s="8"/>
      <c r="BG17" s="66"/>
      <c r="BH17" s="8"/>
      <c r="BI17" s="67"/>
      <c r="BJ17" s="8"/>
      <c r="BK17" s="8"/>
      <c r="BL17" s="8"/>
      <c r="BM17" s="8"/>
      <c r="BN17" s="8"/>
      <c r="BO17" s="8"/>
      <c r="BP17" s="8"/>
      <c r="BQ17" s="8"/>
      <c r="BR17" s="66"/>
      <c r="BS17" s="8"/>
      <c r="BT17" s="67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67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67"/>
      <c r="CQ17" s="8"/>
      <c r="CR17" s="8"/>
      <c r="CS17" s="10"/>
      <c r="CT17" s="8"/>
      <c r="CU17" s="8"/>
      <c r="CV17" s="8"/>
      <c r="CW17" s="8"/>
      <c r="CX17" s="65"/>
      <c r="CY17" s="8"/>
      <c r="CZ17" s="8"/>
      <c r="DA17" s="67"/>
      <c r="DB17" s="8"/>
      <c r="DC17" s="69"/>
    </row>
    <row r="18" spans="1:107" s="119" customFormat="1" ht="26.25">
      <c r="A18" s="111">
        <v>7</v>
      </c>
      <c r="B18" s="111" t="s">
        <v>97</v>
      </c>
      <c r="C18" s="111">
        <v>6</v>
      </c>
      <c r="D18" s="111">
        <v>6</v>
      </c>
      <c r="E18" s="111">
        <v>33</v>
      </c>
      <c r="F18" s="112"/>
      <c r="G18" s="113">
        <v>14</v>
      </c>
      <c r="H18" s="111">
        <v>1</v>
      </c>
      <c r="I18" s="111"/>
      <c r="J18" s="111">
        <v>3872</v>
      </c>
      <c r="K18" s="111"/>
      <c r="L18" s="111"/>
      <c r="M18" s="111">
        <f t="shared" si="2"/>
        <v>0</v>
      </c>
      <c r="N18" s="114">
        <v>0.3</v>
      </c>
      <c r="O18" s="111">
        <f t="shared" si="3"/>
        <v>1161.6</v>
      </c>
      <c r="P18" s="111">
        <f t="shared" si="4"/>
        <v>774.4000000000001</v>
      </c>
      <c r="Q18" s="115">
        <f t="shared" si="5"/>
        <v>5808</v>
      </c>
      <c r="R18" s="111"/>
      <c r="S18" s="111">
        <v>0.5</v>
      </c>
      <c r="T18" s="122">
        <f>J18*95%</f>
        <v>3678.3999999999996</v>
      </c>
      <c r="U18" s="117">
        <f t="shared" si="6"/>
        <v>1839.1999999999998</v>
      </c>
      <c r="V18" s="111"/>
      <c r="W18" s="111"/>
      <c r="X18" s="111">
        <f t="shared" si="7"/>
        <v>0</v>
      </c>
      <c r="Y18" s="114">
        <v>0.3</v>
      </c>
      <c r="Z18" s="117">
        <f t="shared" si="8"/>
        <v>551.7599999999999</v>
      </c>
      <c r="AA18" s="111">
        <f t="shared" si="9"/>
        <v>367.84</v>
      </c>
      <c r="AB18" s="118">
        <f t="shared" si="10"/>
        <v>2758.7999999999997</v>
      </c>
      <c r="AC18" s="111">
        <v>10</v>
      </c>
      <c r="AD18" s="111">
        <v>0.5</v>
      </c>
      <c r="AE18" s="111">
        <v>2912</v>
      </c>
      <c r="AF18" s="111">
        <f>AE18*AD18</f>
        <v>1456</v>
      </c>
      <c r="AG18" s="111"/>
      <c r="AH18" s="111"/>
      <c r="AI18" s="111">
        <f t="shared" si="12"/>
        <v>0</v>
      </c>
      <c r="AJ18" s="114"/>
      <c r="AK18" s="111">
        <f t="shared" si="13"/>
        <v>0</v>
      </c>
      <c r="AL18" s="111">
        <f t="shared" si="14"/>
        <v>291.2</v>
      </c>
      <c r="AM18" s="115">
        <f t="shared" si="15"/>
        <v>1747.2</v>
      </c>
      <c r="AN18" s="111">
        <v>9</v>
      </c>
      <c r="AO18" s="111">
        <v>0.5</v>
      </c>
      <c r="AP18" s="111">
        <v>2768</v>
      </c>
      <c r="AQ18" s="111">
        <f t="shared" si="16"/>
        <v>1384</v>
      </c>
      <c r="AR18" s="111"/>
      <c r="AS18" s="111"/>
      <c r="AT18" s="111">
        <f t="shared" si="17"/>
        <v>0</v>
      </c>
      <c r="AU18" s="111"/>
      <c r="AV18" s="111">
        <f t="shared" si="18"/>
        <v>0</v>
      </c>
      <c r="AW18" s="111">
        <f t="shared" si="19"/>
        <v>692</v>
      </c>
      <c r="AX18" s="115">
        <f t="shared" si="20"/>
        <v>2076</v>
      </c>
      <c r="AY18" s="111">
        <v>11</v>
      </c>
      <c r="AZ18" s="116">
        <v>0.25</v>
      </c>
      <c r="BA18" s="111">
        <v>3152</v>
      </c>
      <c r="BB18" s="111">
        <f t="shared" si="21"/>
        <v>788</v>
      </c>
      <c r="BC18" s="111"/>
      <c r="BD18" s="111"/>
      <c r="BE18" s="111">
        <f t="shared" si="22"/>
        <v>0</v>
      </c>
      <c r="BF18" s="114">
        <v>0.1</v>
      </c>
      <c r="BG18" s="117">
        <f t="shared" si="23"/>
        <v>78.80000000000001</v>
      </c>
      <c r="BH18" s="111">
        <f t="shared" si="24"/>
        <v>157.60000000000002</v>
      </c>
      <c r="BI18" s="118">
        <f t="shared" si="25"/>
        <v>1024.4</v>
      </c>
      <c r="BJ18" s="111">
        <v>11</v>
      </c>
      <c r="BK18" s="116">
        <v>0.25</v>
      </c>
      <c r="BL18" s="111">
        <v>3152</v>
      </c>
      <c r="BM18" s="111">
        <f t="shared" si="26"/>
        <v>788</v>
      </c>
      <c r="BN18" s="111"/>
      <c r="BO18" s="111"/>
      <c r="BP18" s="111">
        <f t="shared" si="27"/>
        <v>0</v>
      </c>
      <c r="BQ18" s="114">
        <v>0.1</v>
      </c>
      <c r="BR18" s="117">
        <f t="shared" si="28"/>
        <v>78.80000000000001</v>
      </c>
      <c r="BS18" s="111">
        <f t="shared" si="29"/>
        <v>157.60000000000002</v>
      </c>
      <c r="BT18" s="118">
        <f t="shared" si="30"/>
        <v>1024.4</v>
      </c>
      <c r="BU18" s="111"/>
      <c r="BV18" s="111"/>
      <c r="BW18" s="111"/>
      <c r="BX18" s="111">
        <f t="shared" si="31"/>
        <v>0</v>
      </c>
      <c r="BY18" s="111"/>
      <c r="BZ18" s="111"/>
      <c r="CA18" s="111">
        <f t="shared" si="32"/>
        <v>0</v>
      </c>
      <c r="CB18" s="111"/>
      <c r="CC18" s="111">
        <f t="shared" si="33"/>
        <v>0</v>
      </c>
      <c r="CD18" s="111">
        <f t="shared" si="34"/>
        <v>0</v>
      </c>
      <c r="CE18" s="115">
        <f t="shared" si="35"/>
        <v>0</v>
      </c>
      <c r="CF18" s="111"/>
      <c r="CG18" s="111"/>
      <c r="CH18" s="111"/>
      <c r="CI18" s="111">
        <f t="shared" si="36"/>
        <v>0</v>
      </c>
      <c r="CJ18" s="111"/>
      <c r="CK18" s="111"/>
      <c r="CL18" s="111">
        <f t="shared" si="37"/>
        <v>0</v>
      </c>
      <c r="CM18" s="111"/>
      <c r="CN18" s="111">
        <f t="shared" si="38"/>
        <v>0</v>
      </c>
      <c r="CO18" s="111">
        <f t="shared" si="39"/>
        <v>0</v>
      </c>
      <c r="CP18" s="115">
        <f t="shared" si="40"/>
        <v>0</v>
      </c>
      <c r="CQ18" s="111"/>
      <c r="CR18" s="111"/>
      <c r="CS18" s="113"/>
      <c r="CT18" s="111">
        <f t="shared" si="41"/>
        <v>0</v>
      </c>
      <c r="CU18" s="111"/>
      <c r="CV18" s="111"/>
      <c r="CW18" s="111">
        <f t="shared" si="42"/>
        <v>0</v>
      </c>
      <c r="CX18" s="111"/>
      <c r="CY18" s="111">
        <f t="shared" si="43"/>
        <v>0</v>
      </c>
      <c r="CZ18" s="111">
        <f t="shared" si="44"/>
        <v>0</v>
      </c>
      <c r="DA18" s="115">
        <f t="shared" si="45"/>
        <v>0</v>
      </c>
      <c r="DB18" s="111">
        <f>H18+S18+AD18+AO18+AZ18+BK18+BV18+CG18+CR18</f>
        <v>3</v>
      </c>
      <c r="DC18" s="118">
        <f>Q18+AB18+AM18+AX18+BI18+BT18</f>
        <v>14438.8</v>
      </c>
    </row>
    <row r="19" spans="1:107" s="119" customFormat="1" ht="26.25">
      <c r="A19" s="111">
        <v>8</v>
      </c>
      <c r="B19" s="111" t="s">
        <v>64</v>
      </c>
      <c r="C19" s="111">
        <v>5</v>
      </c>
      <c r="D19" s="111">
        <v>6</v>
      </c>
      <c r="E19" s="111">
        <v>41</v>
      </c>
      <c r="F19" s="112"/>
      <c r="G19" s="113">
        <v>14</v>
      </c>
      <c r="H19" s="111">
        <v>1</v>
      </c>
      <c r="I19" s="111"/>
      <c r="J19" s="111">
        <v>3872</v>
      </c>
      <c r="K19" s="111"/>
      <c r="L19" s="111"/>
      <c r="M19" s="111">
        <f t="shared" si="2"/>
        <v>0</v>
      </c>
      <c r="N19" s="114">
        <v>0.2</v>
      </c>
      <c r="O19" s="111">
        <f t="shared" si="3"/>
        <v>774.4000000000001</v>
      </c>
      <c r="P19" s="111">
        <f t="shared" si="4"/>
        <v>774.4000000000001</v>
      </c>
      <c r="Q19" s="115">
        <f t="shared" si="5"/>
        <v>5420.799999999999</v>
      </c>
      <c r="R19" s="111"/>
      <c r="S19" s="111"/>
      <c r="T19" s="122"/>
      <c r="U19" s="117">
        <f t="shared" si="6"/>
        <v>0</v>
      </c>
      <c r="V19" s="111"/>
      <c r="W19" s="111"/>
      <c r="X19" s="111">
        <f t="shared" si="7"/>
        <v>0</v>
      </c>
      <c r="Y19" s="114"/>
      <c r="Z19" s="117">
        <f t="shared" si="8"/>
        <v>0</v>
      </c>
      <c r="AA19" s="111">
        <f t="shared" si="9"/>
        <v>0</v>
      </c>
      <c r="AB19" s="118">
        <f t="shared" si="10"/>
        <v>0</v>
      </c>
      <c r="AC19" s="111">
        <v>10</v>
      </c>
      <c r="AD19" s="111">
        <v>0.5</v>
      </c>
      <c r="AE19" s="111">
        <v>2912</v>
      </c>
      <c r="AF19" s="111">
        <f t="shared" si="11"/>
        <v>1456</v>
      </c>
      <c r="AG19" s="111"/>
      <c r="AH19" s="111"/>
      <c r="AI19" s="111">
        <f t="shared" si="12"/>
        <v>0</v>
      </c>
      <c r="AJ19" s="114">
        <v>0.2</v>
      </c>
      <c r="AK19" s="111">
        <f t="shared" si="13"/>
        <v>291.2</v>
      </c>
      <c r="AL19" s="111">
        <f t="shared" si="14"/>
        <v>291.2</v>
      </c>
      <c r="AM19" s="115">
        <f t="shared" si="15"/>
        <v>2038.4</v>
      </c>
      <c r="AN19" s="111">
        <v>9</v>
      </c>
      <c r="AO19" s="111">
        <v>0.5</v>
      </c>
      <c r="AP19" s="111">
        <v>2768</v>
      </c>
      <c r="AQ19" s="111">
        <f t="shared" si="16"/>
        <v>1384</v>
      </c>
      <c r="AR19" s="111"/>
      <c r="AS19" s="111"/>
      <c r="AT19" s="111">
        <f t="shared" si="17"/>
        <v>0</v>
      </c>
      <c r="AU19" s="111"/>
      <c r="AV19" s="111">
        <f t="shared" si="18"/>
        <v>0</v>
      </c>
      <c r="AW19" s="111">
        <f t="shared" si="19"/>
        <v>692</v>
      </c>
      <c r="AX19" s="115">
        <f t="shared" si="20"/>
        <v>2076</v>
      </c>
      <c r="AY19" s="111">
        <v>11</v>
      </c>
      <c r="AZ19" s="134">
        <v>0.25</v>
      </c>
      <c r="BA19" s="111">
        <v>3152</v>
      </c>
      <c r="BB19" s="111">
        <f t="shared" si="21"/>
        <v>788</v>
      </c>
      <c r="BC19" s="111"/>
      <c r="BD19" s="111"/>
      <c r="BE19" s="111">
        <f t="shared" si="22"/>
        <v>0</v>
      </c>
      <c r="BF19" s="114">
        <v>0.1</v>
      </c>
      <c r="BG19" s="117">
        <f t="shared" si="23"/>
        <v>78.80000000000001</v>
      </c>
      <c r="BH19" s="111">
        <f t="shared" si="24"/>
        <v>157.60000000000002</v>
      </c>
      <c r="BI19" s="118">
        <f t="shared" si="25"/>
        <v>1024.4</v>
      </c>
      <c r="BJ19" s="111">
        <v>11</v>
      </c>
      <c r="BK19" s="134">
        <v>0.25</v>
      </c>
      <c r="BL19" s="111">
        <v>3152</v>
      </c>
      <c r="BM19" s="111">
        <f t="shared" si="26"/>
        <v>788</v>
      </c>
      <c r="BN19" s="111"/>
      <c r="BO19" s="111"/>
      <c r="BP19" s="111">
        <f t="shared" si="27"/>
        <v>0</v>
      </c>
      <c r="BQ19" s="114">
        <v>0.1</v>
      </c>
      <c r="BR19" s="117">
        <f t="shared" si="28"/>
        <v>78.80000000000001</v>
      </c>
      <c r="BS19" s="111">
        <f t="shared" si="29"/>
        <v>157.60000000000002</v>
      </c>
      <c r="BT19" s="118">
        <f t="shared" si="30"/>
        <v>1024.4</v>
      </c>
      <c r="BU19" s="111"/>
      <c r="BV19" s="111"/>
      <c r="BW19" s="111"/>
      <c r="BX19" s="111">
        <f t="shared" si="31"/>
        <v>0</v>
      </c>
      <c r="BY19" s="111"/>
      <c r="BZ19" s="111"/>
      <c r="CA19" s="111">
        <f t="shared" si="32"/>
        <v>0</v>
      </c>
      <c r="CB19" s="111"/>
      <c r="CC19" s="111">
        <f t="shared" si="33"/>
        <v>0</v>
      </c>
      <c r="CD19" s="111">
        <f t="shared" si="34"/>
        <v>0</v>
      </c>
      <c r="CE19" s="115">
        <f t="shared" si="35"/>
        <v>0</v>
      </c>
      <c r="CF19" s="111"/>
      <c r="CG19" s="111"/>
      <c r="CH19" s="111"/>
      <c r="CI19" s="111">
        <f t="shared" si="36"/>
        <v>0</v>
      </c>
      <c r="CJ19" s="111"/>
      <c r="CK19" s="111"/>
      <c r="CL19" s="111">
        <f t="shared" si="37"/>
        <v>0</v>
      </c>
      <c r="CM19" s="111"/>
      <c r="CN19" s="111">
        <f t="shared" si="38"/>
        <v>0</v>
      </c>
      <c r="CO19" s="111">
        <f t="shared" si="39"/>
        <v>0</v>
      </c>
      <c r="CP19" s="115">
        <f t="shared" si="40"/>
        <v>0</v>
      </c>
      <c r="CQ19" s="111"/>
      <c r="CR19" s="111"/>
      <c r="CS19" s="113"/>
      <c r="CT19" s="111">
        <f t="shared" si="41"/>
        <v>0</v>
      </c>
      <c r="CU19" s="111"/>
      <c r="CV19" s="111"/>
      <c r="CW19" s="111">
        <f t="shared" si="42"/>
        <v>0</v>
      </c>
      <c r="CX19" s="111"/>
      <c r="CY19" s="111">
        <f t="shared" si="43"/>
        <v>0</v>
      </c>
      <c r="CZ19" s="111">
        <f t="shared" si="44"/>
        <v>0</v>
      </c>
      <c r="DA19" s="115">
        <f t="shared" si="45"/>
        <v>0</v>
      </c>
      <c r="DB19" s="111">
        <f>H19+S19+AD19+AO19+AZ19+BK19+BV19+CG19+CR19</f>
        <v>2.5</v>
      </c>
      <c r="DC19" s="118">
        <f>Q19+AB19+AM19+AX19+BI19+BT19</f>
        <v>11583.999999999998</v>
      </c>
    </row>
    <row r="20" spans="1:107" s="119" customFormat="1" ht="26.25">
      <c r="A20" s="111">
        <v>9</v>
      </c>
      <c r="B20" s="111" t="s">
        <v>28</v>
      </c>
      <c r="C20" s="111">
        <v>3</v>
      </c>
      <c r="D20" s="111">
        <v>4</v>
      </c>
      <c r="E20" s="111">
        <v>36</v>
      </c>
      <c r="F20" s="112"/>
      <c r="G20" s="113">
        <v>15</v>
      </c>
      <c r="H20" s="111">
        <v>1</v>
      </c>
      <c r="I20" s="111"/>
      <c r="J20" s="111">
        <v>4128</v>
      </c>
      <c r="K20" s="111"/>
      <c r="L20" s="111"/>
      <c r="M20" s="111">
        <f t="shared" si="2"/>
        <v>0</v>
      </c>
      <c r="N20" s="114">
        <v>0.3</v>
      </c>
      <c r="O20" s="111">
        <f t="shared" si="3"/>
        <v>1238.3999999999999</v>
      </c>
      <c r="P20" s="111">
        <f t="shared" si="4"/>
        <v>825.6</v>
      </c>
      <c r="Q20" s="115">
        <f t="shared" si="5"/>
        <v>6192</v>
      </c>
      <c r="R20" s="111"/>
      <c r="S20" s="111"/>
      <c r="T20" s="111"/>
      <c r="U20" s="111">
        <f t="shared" si="6"/>
        <v>0</v>
      </c>
      <c r="V20" s="111"/>
      <c r="W20" s="111"/>
      <c r="X20" s="111">
        <f t="shared" si="7"/>
        <v>0</v>
      </c>
      <c r="Y20" s="111"/>
      <c r="Z20" s="111">
        <f t="shared" si="8"/>
        <v>0</v>
      </c>
      <c r="AA20" s="111">
        <f t="shared" si="9"/>
        <v>0</v>
      </c>
      <c r="AB20" s="115">
        <f t="shared" si="10"/>
        <v>0</v>
      </c>
      <c r="AC20" s="111"/>
      <c r="AD20" s="111"/>
      <c r="AE20" s="111"/>
      <c r="AF20" s="111">
        <f t="shared" si="11"/>
        <v>0</v>
      </c>
      <c r="AG20" s="111"/>
      <c r="AH20" s="111"/>
      <c r="AI20" s="111">
        <f t="shared" si="12"/>
        <v>0</v>
      </c>
      <c r="AJ20" s="111"/>
      <c r="AK20" s="111">
        <f t="shared" si="13"/>
        <v>0</v>
      </c>
      <c r="AL20" s="111">
        <f t="shared" si="14"/>
        <v>0</v>
      </c>
      <c r="AM20" s="115">
        <f t="shared" si="15"/>
        <v>0</v>
      </c>
      <c r="AN20" s="111"/>
      <c r="AO20" s="111"/>
      <c r="AP20" s="111"/>
      <c r="AQ20" s="111">
        <f t="shared" si="16"/>
        <v>0</v>
      </c>
      <c r="AR20" s="111"/>
      <c r="AS20" s="111"/>
      <c r="AT20" s="111">
        <f t="shared" si="17"/>
        <v>0</v>
      </c>
      <c r="AU20" s="111"/>
      <c r="AV20" s="111">
        <f t="shared" si="18"/>
        <v>0</v>
      </c>
      <c r="AW20" s="111">
        <f t="shared" si="19"/>
        <v>0</v>
      </c>
      <c r="AX20" s="115">
        <f t="shared" si="20"/>
        <v>0</v>
      </c>
      <c r="AY20" s="111">
        <v>11</v>
      </c>
      <c r="AZ20" s="116">
        <v>0.25</v>
      </c>
      <c r="BA20" s="111">
        <v>3152</v>
      </c>
      <c r="BB20" s="111">
        <f t="shared" si="21"/>
        <v>788</v>
      </c>
      <c r="BC20" s="111"/>
      <c r="BD20" s="111"/>
      <c r="BE20" s="111">
        <f t="shared" si="22"/>
        <v>0</v>
      </c>
      <c r="BF20" s="114">
        <v>0.1</v>
      </c>
      <c r="BG20" s="117">
        <f t="shared" si="23"/>
        <v>78.80000000000001</v>
      </c>
      <c r="BH20" s="111">
        <f t="shared" si="24"/>
        <v>157.60000000000002</v>
      </c>
      <c r="BI20" s="118">
        <f t="shared" si="25"/>
        <v>1024.4</v>
      </c>
      <c r="BJ20" s="111">
        <v>11</v>
      </c>
      <c r="BK20" s="116">
        <v>0.25</v>
      </c>
      <c r="BL20" s="111">
        <v>3152</v>
      </c>
      <c r="BM20" s="111">
        <f t="shared" si="26"/>
        <v>788</v>
      </c>
      <c r="BN20" s="111"/>
      <c r="BO20" s="111"/>
      <c r="BP20" s="111">
        <f t="shared" si="27"/>
        <v>0</v>
      </c>
      <c r="BQ20" s="114">
        <v>0.1</v>
      </c>
      <c r="BR20" s="117">
        <f t="shared" si="28"/>
        <v>78.80000000000001</v>
      </c>
      <c r="BS20" s="111">
        <f t="shared" si="29"/>
        <v>157.60000000000002</v>
      </c>
      <c r="BT20" s="118">
        <f t="shared" si="30"/>
        <v>1024.4</v>
      </c>
      <c r="BU20" s="111">
        <v>10</v>
      </c>
      <c r="BV20" s="111">
        <v>0.25</v>
      </c>
      <c r="BW20" s="111">
        <v>2912</v>
      </c>
      <c r="BX20" s="111">
        <f t="shared" si="31"/>
        <v>728</v>
      </c>
      <c r="BY20" s="111"/>
      <c r="BZ20" s="111"/>
      <c r="CA20" s="111">
        <f t="shared" si="32"/>
        <v>0</v>
      </c>
      <c r="CB20" s="114">
        <v>0.2</v>
      </c>
      <c r="CC20" s="111">
        <f t="shared" si="33"/>
        <v>145.6</v>
      </c>
      <c r="CD20" s="111">
        <f>(BX20+CA20)*20%</f>
        <v>145.6</v>
      </c>
      <c r="CE20" s="115">
        <f t="shared" si="35"/>
        <v>1019.2</v>
      </c>
      <c r="CF20" s="111"/>
      <c r="CG20" s="111"/>
      <c r="CH20" s="111"/>
      <c r="CI20" s="111">
        <f t="shared" si="36"/>
        <v>0</v>
      </c>
      <c r="CJ20" s="111"/>
      <c r="CK20" s="111"/>
      <c r="CL20" s="111">
        <f t="shared" si="37"/>
        <v>0</v>
      </c>
      <c r="CM20" s="111"/>
      <c r="CN20" s="111">
        <f t="shared" si="38"/>
        <v>0</v>
      </c>
      <c r="CO20" s="111">
        <f t="shared" si="39"/>
        <v>0</v>
      </c>
      <c r="CP20" s="115">
        <f t="shared" si="40"/>
        <v>0</v>
      </c>
      <c r="CQ20" s="111">
        <v>11</v>
      </c>
      <c r="CR20" s="111">
        <v>0.875</v>
      </c>
      <c r="CS20" s="113">
        <v>3152</v>
      </c>
      <c r="CT20" s="117">
        <f t="shared" si="41"/>
        <v>2758</v>
      </c>
      <c r="CU20" s="111"/>
      <c r="CV20" s="111"/>
      <c r="CW20" s="111">
        <f t="shared" si="42"/>
        <v>0</v>
      </c>
      <c r="CX20" s="114">
        <v>0.3</v>
      </c>
      <c r="CY20" s="117">
        <f t="shared" si="43"/>
        <v>827.4</v>
      </c>
      <c r="CZ20" s="117">
        <f>(CT20+CW20)*20%</f>
        <v>551.6</v>
      </c>
      <c r="DA20" s="118">
        <f t="shared" si="45"/>
        <v>4137</v>
      </c>
      <c r="DB20" s="111">
        <f>H20+AZ20+BK20+BV20+CR20+CR21</f>
        <v>3.5</v>
      </c>
      <c r="DC20" s="118">
        <f>Q20+BI20+BT20+CE20+DA20+DA21</f>
        <v>17258.2</v>
      </c>
    </row>
    <row r="21" spans="1:107" s="119" customFormat="1" ht="26.25">
      <c r="A21" s="111"/>
      <c r="B21" s="111"/>
      <c r="C21" s="111"/>
      <c r="D21" s="111"/>
      <c r="E21" s="111"/>
      <c r="F21" s="112"/>
      <c r="G21" s="113"/>
      <c r="H21" s="111"/>
      <c r="I21" s="111"/>
      <c r="J21" s="111"/>
      <c r="K21" s="111"/>
      <c r="L21" s="111"/>
      <c r="M21" s="111"/>
      <c r="N21" s="114"/>
      <c r="O21" s="111"/>
      <c r="P21" s="111"/>
      <c r="Q21" s="115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5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>
        <f t="shared" si="14"/>
        <v>0</v>
      </c>
      <c r="AM21" s="115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>
        <f t="shared" si="19"/>
        <v>0</v>
      </c>
      <c r="AX21" s="115"/>
      <c r="AY21" s="111"/>
      <c r="AZ21" s="116"/>
      <c r="BA21" s="111"/>
      <c r="BB21" s="111"/>
      <c r="BC21" s="111"/>
      <c r="BD21" s="111"/>
      <c r="BE21" s="111"/>
      <c r="BF21" s="111"/>
      <c r="BG21" s="111"/>
      <c r="BH21" s="111">
        <f t="shared" si="24"/>
        <v>0</v>
      </c>
      <c r="BI21" s="115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>
        <f t="shared" si="29"/>
        <v>0</v>
      </c>
      <c r="BT21" s="115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5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5"/>
      <c r="CQ21" s="111">
        <v>11</v>
      </c>
      <c r="CR21" s="111">
        <v>0.875</v>
      </c>
      <c r="CS21" s="113">
        <v>3152</v>
      </c>
      <c r="CT21" s="117">
        <f t="shared" si="41"/>
        <v>2758</v>
      </c>
      <c r="CU21" s="111"/>
      <c r="CV21" s="111"/>
      <c r="CW21" s="111"/>
      <c r="CX21" s="114">
        <v>0.2</v>
      </c>
      <c r="CY21" s="117">
        <f t="shared" si="43"/>
        <v>551.6</v>
      </c>
      <c r="CZ21" s="117">
        <f>(CT21+CW21)*20%</f>
        <v>551.6</v>
      </c>
      <c r="DA21" s="118">
        <f t="shared" si="45"/>
        <v>3861.2</v>
      </c>
      <c r="DB21" s="124"/>
      <c r="DC21" s="118"/>
    </row>
    <row r="22" spans="1:107" s="87" customFormat="1" ht="25.5">
      <c r="A22" s="84"/>
      <c r="B22" s="84" t="s">
        <v>54</v>
      </c>
      <c r="C22" s="84">
        <f>C9+C10+C11+C14+C15+C18+C19+C20</f>
        <v>32</v>
      </c>
      <c r="D22" s="84">
        <f aca="true" t="shared" si="46" ref="D22:BO22">D9+D10+D11+D14+D15+D18+D19+D20</f>
        <v>35</v>
      </c>
      <c r="E22" s="84">
        <f t="shared" si="46"/>
        <v>258</v>
      </c>
      <c r="F22" s="84">
        <f t="shared" si="46"/>
        <v>0</v>
      </c>
      <c r="G22" s="84"/>
      <c r="H22" s="84">
        <f t="shared" si="46"/>
        <v>7</v>
      </c>
      <c r="I22" s="84"/>
      <c r="J22" s="84">
        <f t="shared" si="46"/>
        <v>27872</v>
      </c>
      <c r="K22" s="84">
        <f t="shared" si="46"/>
        <v>0</v>
      </c>
      <c r="L22" s="84">
        <f t="shared" si="46"/>
        <v>0</v>
      </c>
      <c r="M22" s="84">
        <f t="shared" si="46"/>
        <v>0</v>
      </c>
      <c r="N22" s="84">
        <f t="shared" si="46"/>
        <v>1.8</v>
      </c>
      <c r="O22" s="84">
        <f t="shared" si="46"/>
        <v>7148.799999999999</v>
      </c>
      <c r="P22" s="84">
        <f t="shared" si="46"/>
        <v>5574.400000000001</v>
      </c>
      <c r="Q22" s="84">
        <f t="shared" si="46"/>
        <v>40595.2</v>
      </c>
      <c r="R22" s="84"/>
      <c r="S22" s="84">
        <f t="shared" si="46"/>
        <v>1</v>
      </c>
      <c r="T22" s="84"/>
      <c r="U22" s="85">
        <f t="shared" si="46"/>
        <v>3800</v>
      </c>
      <c r="V22" s="84">
        <f t="shared" si="46"/>
        <v>0</v>
      </c>
      <c r="W22" s="84">
        <f t="shared" si="46"/>
        <v>0</v>
      </c>
      <c r="X22" s="84">
        <f t="shared" si="46"/>
        <v>0</v>
      </c>
      <c r="Y22" s="84"/>
      <c r="Z22" s="85">
        <f t="shared" si="46"/>
        <v>943.9199999999998</v>
      </c>
      <c r="AA22" s="85">
        <f t="shared" si="46"/>
        <v>760</v>
      </c>
      <c r="AB22" s="85">
        <f t="shared" si="46"/>
        <v>5503.92</v>
      </c>
      <c r="AC22" s="84"/>
      <c r="AD22" s="84">
        <f t="shared" si="46"/>
        <v>1</v>
      </c>
      <c r="AE22" s="84"/>
      <c r="AF22" s="84">
        <f t="shared" si="46"/>
        <v>2912</v>
      </c>
      <c r="AG22" s="84">
        <f t="shared" si="46"/>
        <v>0</v>
      </c>
      <c r="AH22" s="84">
        <f t="shared" si="46"/>
        <v>0</v>
      </c>
      <c r="AI22" s="84">
        <f t="shared" si="46"/>
        <v>0</v>
      </c>
      <c r="AJ22" s="84"/>
      <c r="AK22" s="84">
        <f t="shared" si="46"/>
        <v>291.2</v>
      </c>
      <c r="AL22" s="84">
        <f t="shared" si="46"/>
        <v>582.4</v>
      </c>
      <c r="AM22" s="84">
        <f t="shared" si="46"/>
        <v>3785.6000000000004</v>
      </c>
      <c r="AN22" s="84"/>
      <c r="AO22" s="84">
        <f t="shared" si="46"/>
        <v>1</v>
      </c>
      <c r="AP22" s="84"/>
      <c r="AQ22" s="84">
        <f t="shared" si="46"/>
        <v>2768</v>
      </c>
      <c r="AR22" s="84">
        <f t="shared" si="46"/>
        <v>0</v>
      </c>
      <c r="AS22" s="84">
        <f t="shared" si="46"/>
        <v>0</v>
      </c>
      <c r="AT22" s="84">
        <f t="shared" si="46"/>
        <v>0</v>
      </c>
      <c r="AU22" s="84">
        <f t="shared" si="46"/>
        <v>0</v>
      </c>
      <c r="AV22" s="84">
        <f t="shared" si="46"/>
        <v>0</v>
      </c>
      <c r="AW22" s="84">
        <f t="shared" si="46"/>
        <v>1384</v>
      </c>
      <c r="AX22" s="84">
        <f t="shared" si="46"/>
        <v>4152</v>
      </c>
      <c r="AY22" s="84"/>
      <c r="AZ22" s="84">
        <f t="shared" si="46"/>
        <v>1.75</v>
      </c>
      <c r="BA22" s="84"/>
      <c r="BB22" s="84">
        <f t="shared" si="46"/>
        <v>5516</v>
      </c>
      <c r="BC22" s="84">
        <f t="shared" si="46"/>
        <v>0</v>
      </c>
      <c r="BD22" s="84">
        <f t="shared" si="46"/>
        <v>0</v>
      </c>
      <c r="BE22" s="84">
        <f t="shared" si="46"/>
        <v>0</v>
      </c>
      <c r="BF22" s="84">
        <f t="shared" si="46"/>
        <v>0.6</v>
      </c>
      <c r="BG22" s="84">
        <f t="shared" si="46"/>
        <v>472.80000000000007</v>
      </c>
      <c r="BH22" s="84">
        <f t="shared" si="46"/>
        <v>1103.2000000000003</v>
      </c>
      <c r="BI22" s="84">
        <f t="shared" si="46"/>
        <v>7092</v>
      </c>
      <c r="BJ22" s="84"/>
      <c r="BK22" s="84">
        <f t="shared" si="46"/>
        <v>1.75</v>
      </c>
      <c r="BL22" s="84"/>
      <c r="BM22" s="84">
        <f t="shared" si="46"/>
        <v>5516</v>
      </c>
      <c r="BN22" s="84">
        <f t="shared" si="46"/>
        <v>0</v>
      </c>
      <c r="BO22" s="84">
        <f t="shared" si="46"/>
        <v>0</v>
      </c>
      <c r="BP22" s="84">
        <f aca="true" t="shared" si="47" ref="BP22:DC22">BP9+BP10+BP11+BP14+BP15+BP18+BP19+BP20</f>
        <v>0</v>
      </c>
      <c r="BQ22" s="84"/>
      <c r="BR22" s="84">
        <f t="shared" si="47"/>
        <v>472.80000000000007</v>
      </c>
      <c r="BS22" s="84">
        <f t="shared" si="47"/>
        <v>1103.2000000000003</v>
      </c>
      <c r="BT22" s="84">
        <f t="shared" si="47"/>
        <v>7092</v>
      </c>
      <c r="BU22" s="84"/>
      <c r="BV22" s="84">
        <f t="shared" si="47"/>
        <v>0.5</v>
      </c>
      <c r="BW22" s="84"/>
      <c r="BX22" s="84">
        <f t="shared" si="47"/>
        <v>1516</v>
      </c>
      <c r="BY22" s="84">
        <f t="shared" si="47"/>
        <v>0</v>
      </c>
      <c r="BZ22" s="84">
        <f t="shared" si="47"/>
        <v>0</v>
      </c>
      <c r="CA22" s="84">
        <f t="shared" si="47"/>
        <v>0</v>
      </c>
      <c r="CB22" s="84"/>
      <c r="CC22" s="84">
        <f t="shared" si="47"/>
        <v>224.4</v>
      </c>
      <c r="CD22" s="84">
        <f t="shared" si="47"/>
        <v>303.20000000000005</v>
      </c>
      <c r="CE22" s="84">
        <f t="shared" si="47"/>
        <v>2043.6000000000001</v>
      </c>
      <c r="CF22" s="84"/>
      <c r="CG22" s="84">
        <f>SUM(CG9:CG21)</f>
        <v>0</v>
      </c>
      <c r="CH22" s="84"/>
      <c r="CI22" s="84">
        <f t="shared" si="47"/>
        <v>0</v>
      </c>
      <c r="CJ22" s="84">
        <f t="shared" si="47"/>
        <v>0</v>
      </c>
      <c r="CK22" s="84">
        <f t="shared" si="47"/>
        <v>0</v>
      </c>
      <c r="CL22" s="84">
        <f t="shared" si="47"/>
        <v>0</v>
      </c>
      <c r="CM22" s="84"/>
      <c r="CN22" s="84">
        <f t="shared" si="47"/>
        <v>0</v>
      </c>
      <c r="CO22" s="84">
        <f t="shared" si="47"/>
        <v>0</v>
      </c>
      <c r="CP22" s="84">
        <f t="shared" si="47"/>
        <v>0</v>
      </c>
      <c r="CQ22" s="84"/>
      <c r="CR22" s="84">
        <f>SUM(CR9:CR21)</f>
        <v>3.75</v>
      </c>
      <c r="CS22" s="84"/>
      <c r="CT22" s="84">
        <f>SUM(CT9:CT21)</f>
        <v>11244</v>
      </c>
      <c r="CU22" s="84">
        <f t="shared" si="47"/>
        <v>0</v>
      </c>
      <c r="CV22" s="84">
        <f t="shared" si="47"/>
        <v>0</v>
      </c>
      <c r="CW22" s="84">
        <f t="shared" si="47"/>
        <v>0</v>
      </c>
      <c r="CX22" s="84"/>
      <c r="CY22" s="85">
        <f>SUM(CY9:CY21)</f>
        <v>1901.8000000000002</v>
      </c>
      <c r="CZ22" s="85">
        <f>SUM(CZ11:CZ21)</f>
        <v>2248.8</v>
      </c>
      <c r="DA22" s="85">
        <f>SUM(DA11:DA21)</f>
        <v>15394.599999999999</v>
      </c>
      <c r="DB22" s="84">
        <f t="shared" si="47"/>
        <v>17.75</v>
      </c>
      <c r="DC22" s="85">
        <f t="shared" si="47"/>
        <v>85658.92</v>
      </c>
    </row>
    <row r="23" spans="1:107" s="119" customFormat="1" ht="29.25" customHeight="1">
      <c r="A23" s="111">
        <v>10</v>
      </c>
      <c r="B23" s="111" t="s">
        <v>30</v>
      </c>
      <c r="C23" s="111">
        <v>17</v>
      </c>
      <c r="D23" s="111">
        <v>17</v>
      </c>
      <c r="E23" s="111">
        <v>17</v>
      </c>
      <c r="F23" s="123" t="s">
        <v>152</v>
      </c>
      <c r="G23" s="113">
        <v>18</v>
      </c>
      <c r="H23" s="111">
        <v>1</v>
      </c>
      <c r="I23" s="111"/>
      <c r="J23" s="111">
        <v>5136</v>
      </c>
      <c r="K23" s="111">
        <f>J23*10%</f>
        <v>513.6</v>
      </c>
      <c r="L23" s="111"/>
      <c r="M23" s="111">
        <f>(J23+K23)*L23</f>
        <v>0</v>
      </c>
      <c r="N23" s="114">
        <v>0.3</v>
      </c>
      <c r="O23" s="111">
        <f>(J23+K23+M23)*N23</f>
        <v>1694.88</v>
      </c>
      <c r="P23" s="111">
        <f>(J23+K23+M23)*20%</f>
        <v>1129.92</v>
      </c>
      <c r="Q23" s="115">
        <f>J23+K23+M23+O23+P23</f>
        <v>8474.400000000001</v>
      </c>
      <c r="R23" s="111"/>
      <c r="S23" s="111">
        <v>1</v>
      </c>
      <c r="T23" s="111">
        <f>J23*95%</f>
        <v>4879.2</v>
      </c>
      <c r="U23" s="111">
        <f aca="true" t="shared" si="48" ref="U23:U34">S23*T23</f>
        <v>4879.2</v>
      </c>
      <c r="V23" s="117">
        <f>U23*10%</f>
        <v>487.92</v>
      </c>
      <c r="W23" s="111"/>
      <c r="X23" s="111">
        <f>(U23+V23)*W23</f>
        <v>0</v>
      </c>
      <c r="Y23" s="114">
        <v>0.3</v>
      </c>
      <c r="Z23" s="117">
        <f>(U23+V23+X23)*Y23</f>
        <v>1610.136</v>
      </c>
      <c r="AA23" s="117">
        <f>(U23+V23)*20%</f>
        <v>1073.424</v>
      </c>
      <c r="AB23" s="118">
        <f aca="true" t="shared" si="49" ref="AB23:AB34">U23+V23+X23+Z23+AA23</f>
        <v>8050.679999999999</v>
      </c>
      <c r="AC23" s="111">
        <v>13</v>
      </c>
      <c r="AD23" s="111">
        <v>1</v>
      </c>
      <c r="AE23" s="111">
        <v>3632</v>
      </c>
      <c r="AF23" s="111">
        <f aca="true" t="shared" si="50" ref="AF23:AF36">AD23*AE23</f>
        <v>3632</v>
      </c>
      <c r="AG23" s="111">
        <f>AF23*10%</f>
        <v>363.20000000000005</v>
      </c>
      <c r="AH23" s="111"/>
      <c r="AI23" s="111">
        <f>(AF23+AG23)*AH23</f>
        <v>0</v>
      </c>
      <c r="AJ23" s="114">
        <v>0.2</v>
      </c>
      <c r="AK23" s="111">
        <f>(AF23+AG23+AI23)*AJ23</f>
        <v>799.04</v>
      </c>
      <c r="AL23" s="111">
        <f>(AF23+AG23)*20%</f>
        <v>799.04</v>
      </c>
      <c r="AM23" s="118">
        <f>AF23+AG23+AI23+AK23+AL23</f>
        <v>5593.28</v>
      </c>
      <c r="AN23" s="111">
        <v>9</v>
      </c>
      <c r="AO23" s="111">
        <v>1</v>
      </c>
      <c r="AP23" s="111">
        <v>2768</v>
      </c>
      <c r="AQ23" s="111">
        <f>AO23*AP23</f>
        <v>2768</v>
      </c>
      <c r="AR23" s="111"/>
      <c r="AS23" s="111"/>
      <c r="AT23" s="111">
        <f>(AQ23+AR23)*AS23</f>
        <v>0</v>
      </c>
      <c r="AU23" s="114">
        <v>0.1</v>
      </c>
      <c r="AV23" s="111">
        <f>(AQ23+AR23+AT23)*AU23</f>
        <v>276.8</v>
      </c>
      <c r="AW23" s="111">
        <f aca="true" t="shared" si="51" ref="AW23:AW36">AQ23*50%</f>
        <v>1384</v>
      </c>
      <c r="AX23" s="115">
        <f>AQ23+AR23+AT23+AV23+AW23</f>
        <v>4428.8</v>
      </c>
      <c r="AY23" s="111"/>
      <c r="AZ23" s="111">
        <v>1</v>
      </c>
      <c r="BA23" s="111">
        <v>3632</v>
      </c>
      <c r="BB23" s="111">
        <f>AZ23*BA23</f>
        <v>3632</v>
      </c>
      <c r="BC23" s="117">
        <f>BB23*10%</f>
        <v>363.20000000000005</v>
      </c>
      <c r="BD23" s="111"/>
      <c r="BE23" s="111">
        <f>(BB23+BC23)*BD23</f>
        <v>0</v>
      </c>
      <c r="BF23" s="114">
        <v>0.3</v>
      </c>
      <c r="BG23" s="117">
        <f>(BB23+BC23+BE23)*BF23</f>
        <v>1198.56</v>
      </c>
      <c r="BH23" s="111">
        <f>(BB23+BC23)*20%</f>
        <v>799.04</v>
      </c>
      <c r="BI23" s="118">
        <f>BB23+BC23+BE23+BG23+BH23</f>
        <v>5992.8</v>
      </c>
      <c r="BJ23" s="111"/>
      <c r="BK23" s="134">
        <v>0.5</v>
      </c>
      <c r="BL23" s="111">
        <v>3152</v>
      </c>
      <c r="BM23" s="111">
        <f>BK23*BL23</f>
        <v>1576</v>
      </c>
      <c r="BN23" s="111">
        <f>BM23*10%</f>
        <v>157.60000000000002</v>
      </c>
      <c r="BO23" s="111"/>
      <c r="BP23" s="111">
        <f>(BM23+BN23)*BO23</f>
        <v>0</v>
      </c>
      <c r="BQ23" s="114">
        <v>0.3</v>
      </c>
      <c r="BR23" s="117">
        <f>(BM23+BN23+BP23)*BQ23</f>
        <v>520.0799999999999</v>
      </c>
      <c r="BS23" s="117">
        <f>(BM23+BN23)*20%</f>
        <v>346.72</v>
      </c>
      <c r="BT23" s="118">
        <f>BM23+BN23+BP23+BR23+BS23</f>
        <v>2600.3999999999996</v>
      </c>
      <c r="BU23" s="111"/>
      <c r="BV23" s="111"/>
      <c r="BW23" s="111"/>
      <c r="BX23" s="111">
        <f>BV23*BW23</f>
        <v>0</v>
      </c>
      <c r="BY23" s="111">
        <f>BX23*10%</f>
        <v>0</v>
      </c>
      <c r="BZ23" s="111"/>
      <c r="CA23" s="111">
        <f>(BX23+BY23)*BZ23</f>
        <v>0</v>
      </c>
      <c r="CB23" s="111"/>
      <c r="CC23" s="111">
        <f>(BX23+BY23+CA23)*CB23</f>
        <v>0</v>
      </c>
      <c r="CD23" s="111">
        <f>(BX23+BY23+CA23)*20%</f>
        <v>0</v>
      </c>
      <c r="CE23" s="115">
        <f>BX23+BY23+CA23+CC23+CD23</f>
        <v>0</v>
      </c>
      <c r="CF23" s="111">
        <v>11</v>
      </c>
      <c r="CG23" s="111">
        <v>1</v>
      </c>
      <c r="CH23" s="111">
        <v>3152</v>
      </c>
      <c r="CI23" s="111">
        <f>CG23*CH23</f>
        <v>3152</v>
      </c>
      <c r="CJ23" s="111"/>
      <c r="CK23" s="111"/>
      <c r="CL23" s="111">
        <f>(CI23+CJ23)*CK23</f>
        <v>0</v>
      </c>
      <c r="CM23" s="114">
        <v>0.3</v>
      </c>
      <c r="CN23" s="111">
        <f>(CI23+CJ23+CL23)*CM23</f>
        <v>945.5999999999999</v>
      </c>
      <c r="CO23" s="111">
        <f>(CI23+CJ23+CL23)*20%</f>
        <v>630.4000000000001</v>
      </c>
      <c r="CP23" s="115">
        <f>CI23+CJ23+CL23+CN23+CO23</f>
        <v>4728</v>
      </c>
      <c r="CQ23" s="111"/>
      <c r="CR23" s="111"/>
      <c r="CS23" s="111"/>
      <c r="CT23" s="111">
        <f>CR23*CS23</f>
        <v>0</v>
      </c>
      <c r="CU23" s="111">
        <f>CT23*10%</f>
        <v>0</v>
      </c>
      <c r="CV23" s="111"/>
      <c r="CW23" s="111">
        <f>(CT23+CU23)*CV23</f>
        <v>0</v>
      </c>
      <c r="CX23" s="111"/>
      <c r="CY23" s="111">
        <f>(CT23+CU23+CW23)*CX23</f>
        <v>0</v>
      </c>
      <c r="CZ23" s="111">
        <f>(CT23+CU23+CW23)*20%</f>
        <v>0</v>
      </c>
      <c r="DA23" s="115">
        <f>CT23+CU23+CW23+CY23+CZ23</f>
        <v>0</v>
      </c>
      <c r="DB23" s="111">
        <f>H23+S23+S24+S25+AD23+AO23+AZ23+BK23+CG23+CG24+CG25</f>
        <v>10.5</v>
      </c>
      <c r="DC23" s="118">
        <f>Q23+AB23+AB24+AB25+AM23+AX23+BI23+BT23+CP23+CP24+CP25</f>
        <v>65245.808000000005</v>
      </c>
    </row>
    <row r="24" spans="1:107" s="119" customFormat="1" ht="29.25" customHeight="1">
      <c r="A24" s="111"/>
      <c r="B24" s="111"/>
      <c r="C24" s="111"/>
      <c r="D24" s="111"/>
      <c r="E24" s="111"/>
      <c r="F24" s="123"/>
      <c r="G24" s="113"/>
      <c r="H24" s="111"/>
      <c r="I24" s="111"/>
      <c r="J24" s="111"/>
      <c r="K24" s="111"/>
      <c r="L24" s="111"/>
      <c r="M24" s="111"/>
      <c r="N24" s="114"/>
      <c r="O24" s="111"/>
      <c r="P24" s="111"/>
      <c r="Q24" s="115"/>
      <c r="R24" s="111"/>
      <c r="S24" s="111">
        <v>1</v>
      </c>
      <c r="T24" s="111">
        <f>J23*95%</f>
        <v>4879.2</v>
      </c>
      <c r="U24" s="111">
        <f t="shared" si="48"/>
        <v>4879.2</v>
      </c>
      <c r="V24" s="117">
        <f>U24*10%</f>
        <v>487.92</v>
      </c>
      <c r="W24" s="111"/>
      <c r="X24" s="111"/>
      <c r="Y24" s="114">
        <v>0.3</v>
      </c>
      <c r="Z24" s="117">
        <f>(U24+V24+X24)*Y24</f>
        <v>1610.136</v>
      </c>
      <c r="AA24" s="117">
        <f>(U24+V24)*20%</f>
        <v>1073.424</v>
      </c>
      <c r="AB24" s="118">
        <f t="shared" si="49"/>
        <v>8050.679999999999</v>
      </c>
      <c r="AC24" s="111"/>
      <c r="AD24" s="111"/>
      <c r="AE24" s="111"/>
      <c r="AF24" s="111">
        <f t="shared" si="50"/>
        <v>0</v>
      </c>
      <c r="AG24" s="111"/>
      <c r="AH24" s="111"/>
      <c r="AI24" s="111"/>
      <c r="AJ24" s="111"/>
      <c r="AK24" s="111"/>
      <c r="AL24" s="111">
        <f aca="true" t="shared" si="52" ref="AL24:AL36">(AF24+AI24)*20%</f>
        <v>0</v>
      </c>
      <c r="AM24" s="115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>
        <f t="shared" si="51"/>
        <v>0</v>
      </c>
      <c r="AX24" s="115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>
        <f aca="true" t="shared" si="53" ref="BH24:BH36">(BB24+BE24)*20%</f>
        <v>0</v>
      </c>
      <c r="BI24" s="115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>
        <f aca="true" t="shared" si="54" ref="BS24:BS36">(BM24+BP24)*20%</f>
        <v>0</v>
      </c>
      <c r="BT24" s="115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5"/>
      <c r="CF24" s="111">
        <v>13</v>
      </c>
      <c r="CG24" s="111">
        <v>1</v>
      </c>
      <c r="CH24" s="111">
        <v>3632</v>
      </c>
      <c r="CI24" s="111">
        <f>CG24*CH24</f>
        <v>3632</v>
      </c>
      <c r="CJ24" s="111"/>
      <c r="CK24" s="111"/>
      <c r="CL24" s="111"/>
      <c r="CM24" s="114">
        <v>0.2</v>
      </c>
      <c r="CN24" s="111">
        <f>(CI24+CJ24+CL24)*CM24</f>
        <v>726.4000000000001</v>
      </c>
      <c r="CO24" s="111">
        <f aca="true" t="shared" si="55" ref="CO24:CO32">(CI24+CJ24+CL24)*20%</f>
        <v>726.4000000000001</v>
      </c>
      <c r="CP24" s="115">
        <f>CI24+CJ24+CL24+CN24+CO24</f>
        <v>5084.799999999999</v>
      </c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5"/>
      <c r="DB24" s="111"/>
      <c r="DC24" s="118"/>
    </row>
    <row r="25" spans="1:107" s="119" customFormat="1" ht="29.25" customHeight="1">
      <c r="A25" s="111"/>
      <c r="B25" s="111"/>
      <c r="C25" s="111"/>
      <c r="D25" s="111"/>
      <c r="E25" s="111"/>
      <c r="F25" s="123"/>
      <c r="G25" s="113"/>
      <c r="H25" s="111"/>
      <c r="I25" s="111"/>
      <c r="J25" s="111"/>
      <c r="K25" s="111"/>
      <c r="L25" s="111"/>
      <c r="M25" s="111"/>
      <c r="N25" s="114"/>
      <c r="O25" s="111"/>
      <c r="P25" s="111"/>
      <c r="Q25" s="115"/>
      <c r="R25" s="111"/>
      <c r="S25" s="111">
        <v>1</v>
      </c>
      <c r="T25" s="111">
        <f>J23*95%</f>
        <v>4879.2</v>
      </c>
      <c r="U25" s="117">
        <f t="shared" si="48"/>
        <v>4879.2</v>
      </c>
      <c r="V25" s="117">
        <f>U25*10%</f>
        <v>487.92</v>
      </c>
      <c r="W25" s="111"/>
      <c r="X25" s="111"/>
      <c r="Y25" s="114">
        <v>0.2</v>
      </c>
      <c r="Z25" s="117">
        <f>(U25+V25+X25)*Y25</f>
        <v>1073.424</v>
      </c>
      <c r="AA25" s="117">
        <f>(U25+V25)*20%</f>
        <v>1073.424</v>
      </c>
      <c r="AB25" s="118">
        <f t="shared" si="49"/>
        <v>7513.968</v>
      </c>
      <c r="AC25" s="111"/>
      <c r="AD25" s="111"/>
      <c r="AE25" s="111"/>
      <c r="AF25" s="111">
        <f t="shared" si="50"/>
        <v>0</v>
      </c>
      <c r="AG25" s="111"/>
      <c r="AH25" s="111"/>
      <c r="AI25" s="111"/>
      <c r="AJ25" s="111"/>
      <c r="AK25" s="111"/>
      <c r="AL25" s="111">
        <f t="shared" si="52"/>
        <v>0</v>
      </c>
      <c r="AM25" s="115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>
        <f t="shared" si="51"/>
        <v>0</v>
      </c>
      <c r="AX25" s="115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>
        <f t="shared" si="53"/>
        <v>0</v>
      </c>
      <c r="BI25" s="115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>
        <f t="shared" si="54"/>
        <v>0</v>
      </c>
      <c r="BT25" s="115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5"/>
      <c r="CF25" s="111">
        <v>11</v>
      </c>
      <c r="CG25" s="111">
        <v>1</v>
      </c>
      <c r="CH25" s="111">
        <v>3152</v>
      </c>
      <c r="CI25" s="111">
        <f>CG25*CH25</f>
        <v>3152</v>
      </c>
      <c r="CJ25" s="111"/>
      <c r="CK25" s="111"/>
      <c r="CL25" s="111"/>
      <c r="CM25" s="114">
        <v>0.3</v>
      </c>
      <c r="CN25" s="111">
        <f>(CI25+CJ25+CL25)*CM25</f>
        <v>945.5999999999999</v>
      </c>
      <c r="CO25" s="111">
        <f>(CI25+CJ25+CL25)*20%</f>
        <v>630.4000000000001</v>
      </c>
      <c r="CP25" s="115">
        <f>CI25+CJ25+CL25+CN25+CO25</f>
        <v>4728</v>
      </c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5"/>
      <c r="DB25" s="111"/>
      <c r="DC25" s="118"/>
    </row>
    <row r="26" spans="1:107" s="119" customFormat="1" ht="31.5" customHeight="1">
      <c r="A26" s="111">
        <v>11</v>
      </c>
      <c r="B26" s="111" t="s">
        <v>55</v>
      </c>
      <c r="C26" s="111">
        <v>27</v>
      </c>
      <c r="D26" s="111">
        <v>27</v>
      </c>
      <c r="E26" s="111">
        <v>667</v>
      </c>
      <c r="F26" s="123" t="s">
        <v>153</v>
      </c>
      <c r="G26" s="113">
        <v>17</v>
      </c>
      <c r="H26" s="111">
        <v>1</v>
      </c>
      <c r="I26" s="111"/>
      <c r="J26" s="111">
        <v>4800</v>
      </c>
      <c r="K26" s="111"/>
      <c r="L26" s="111"/>
      <c r="M26" s="111">
        <f>J26*L26</f>
        <v>0</v>
      </c>
      <c r="N26" s="114">
        <v>0.3</v>
      </c>
      <c r="O26" s="111">
        <f>(J26+M26)*N26</f>
        <v>1440</v>
      </c>
      <c r="P26" s="111">
        <f>(J26+M26)*20%</f>
        <v>960</v>
      </c>
      <c r="Q26" s="115">
        <f>J26+K26+M26+O26+P26</f>
        <v>7200</v>
      </c>
      <c r="R26" s="111"/>
      <c r="S26" s="111">
        <v>1</v>
      </c>
      <c r="T26" s="125">
        <f>J26*95%</f>
        <v>4560</v>
      </c>
      <c r="U26" s="111">
        <f t="shared" si="48"/>
        <v>4560</v>
      </c>
      <c r="V26" s="111"/>
      <c r="W26" s="111"/>
      <c r="X26" s="111">
        <f>U26*W26</f>
        <v>0</v>
      </c>
      <c r="Y26" s="114">
        <v>0.3</v>
      </c>
      <c r="Z26" s="117">
        <f>(U26+X26)*Y26</f>
        <v>1368</v>
      </c>
      <c r="AA26" s="111">
        <f aca="true" t="shared" si="56" ref="AA26:AA34">(U26+X26)*20%</f>
        <v>912</v>
      </c>
      <c r="AB26" s="118">
        <f t="shared" si="49"/>
        <v>6840</v>
      </c>
      <c r="AC26" s="111">
        <v>11</v>
      </c>
      <c r="AD26" s="111">
        <v>1</v>
      </c>
      <c r="AE26" s="111">
        <v>3152</v>
      </c>
      <c r="AF26" s="111">
        <f t="shared" si="50"/>
        <v>3152</v>
      </c>
      <c r="AG26" s="111"/>
      <c r="AH26" s="111"/>
      <c r="AI26" s="111">
        <f>AF26*AH26</f>
        <v>0</v>
      </c>
      <c r="AJ26" s="114"/>
      <c r="AK26" s="111">
        <f>(AF26+AI26)*AJ26</f>
        <v>0</v>
      </c>
      <c r="AL26" s="111">
        <f t="shared" si="52"/>
        <v>630.4000000000001</v>
      </c>
      <c r="AM26" s="115">
        <f>AF26+AG26+AI26+AK26+AL26</f>
        <v>3782.4</v>
      </c>
      <c r="AN26" s="111">
        <v>9</v>
      </c>
      <c r="AO26" s="111">
        <v>0.5</v>
      </c>
      <c r="AP26" s="111">
        <v>2624</v>
      </c>
      <c r="AQ26" s="111">
        <f>AO26*AP26</f>
        <v>1312</v>
      </c>
      <c r="AR26" s="111"/>
      <c r="AS26" s="111"/>
      <c r="AT26" s="111">
        <f>AQ26*AS26</f>
        <v>0</v>
      </c>
      <c r="AU26" s="114"/>
      <c r="AV26" s="111">
        <f>(AQ26+AT26)*AU26</f>
        <v>0</v>
      </c>
      <c r="AW26" s="111">
        <f t="shared" si="51"/>
        <v>656</v>
      </c>
      <c r="AX26" s="115">
        <f>AQ26+AR26+AT26+AV26+AW26</f>
        <v>1968</v>
      </c>
      <c r="AY26" s="111">
        <v>11</v>
      </c>
      <c r="AZ26" s="111">
        <v>0.75</v>
      </c>
      <c r="BA26" s="111">
        <v>3152</v>
      </c>
      <c r="BB26" s="111">
        <f>AZ26*BA26</f>
        <v>2364</v>
      </c>
      <c r="BC26" s="111"/>
      <c r="BD26" s="111"/>
      <c r="BE26" s="111">
        <f>BB26*BD26</f>
        <v>0</v>
      </c>
      <c r="BF26" s="114">
        <v>0.2</v>
      </c>
      <c r="BG26" s="117">
        <f>(BB26+BE26)*BF26</f>
        <v>472.8</v>
      </c>
      <c r="BH26" s="111">
        <f t="shared" si="53"/>
        <v>472.8</v>
      </c>
      <c r="BI26" s="115">
        <f>BB26+BC26+BE26+BG26+BH26</f>
        <v>3309.6000000000004</v>
      </c>
      <c r="BJ26" s="111">
        <v>11</v>
      </c>
      <c r="BK26" s="111">
        <v>0.75</v>
      </c>
      <c r="BL26" s="111">
        <v>3152</v>
      </c>
      <c r="BM26" s="111">
        <f>BK26*BL26</f>
        <v>2364</v>
      </c>
      <c r="BN26" s="111"/>
      <c r="BO26" s="111"/>
      <c r="BP26" s="111">
        <f>BM26*BO26</f>
        <v>0</v>
      </c>
      <c r="BQ26" s="111"/>
      <c r="BR26" s="111">
        <f>(BM26+BP26)*BQ26</f>
        <v>0</v>
      </c>
      <c r="BS26" s="111">
        <f t="shared" si="54"/>
        <v>472.8</v>
      </c>
      <c r="BT26" s="115">
        <f>BM26+BN26+BP26+BR26+BS26</f>
        <v>2836.8</v>
      </c>
      <c r="BU26" s="111"/>
      <c r="BV26" s="111"/>
      <c r="BW26" s="111"/>
      <c r="BX26" s="111">
        <f>BV26*BW26</f>
        <v>0</v>
      </c>
      <c r="BY26" s="111"/>
      <c r="BZ26" s="111"/>
      <c r="CA26" s="111">
        <f>BX26*BZ26</f>
        <v>0</v>
      </c>
      <c r="CB26" s="111"/>
      <c r="CC26" s="111">
        <f>(BX26+CA26)*CB26</f>
        <v>0</v>
      </c>
      <c r="CD26" s="111">
        <f>(BX26+CA26)*20%</f>
        <v>0</v>
      </c>
      <c r="CE26" s="115">
        <f>BX26+BY26+CA26+CC26+CD26</f>
        <v>0</v>
      </c>
      <c r="CF26" s="111">
        <v>13</v>
      </c>
      <c r="CG26" s="111">
        <v>1</v>
      </c>
      <c r="CH26" s="111">
        <v>3632</v>
      </c>
      <c r="CI26" s="111">
        <f aca="true" t="shared" si="57" ref="CI26:CI36">CG26*CH26</f>
        <v>3632</v>
      </c>
      <c r="CJ26" s="111"/>
      <c r="CK26" s="111"/>
      <c r="CL26" s="111">
        <f>CI26*CK26</f>
        <v>0</v>
      </c>
      <c r="CM26" s="114">
        <v>0.3</v>
      </c>
      <c r="CN26" s="117">
        <f aca="true" t="shared" si="58" ref="CN26:CN36">(CI26+CL26)*CM26</f>
        <v>1089.6</v>
      </c>
      <c r="CO26" s="111">
        <f t="shared" si="55"/>
        <v>726.4000000000001</v>
      </c>
      <c r="CP26" s="118">
        <f aca="true" t="shared" si="59" ref="CP26:CP36">CI26+CJ26+CL26+CN26+CO26</f>
        <v>5448</v>
      </c>
      <c r="CQ26" s="111"/>
      <c r="CR26" s="111"/>
      <c r="CS26" s="111"/>
      <c r="CT26" s="111">
        <f>CR26*CS26</f>
        <v>0</v>
      </c>
      <c r="CU26" s="111"/>
      <c r="CV26" s="111"/>
      <c r="CW26" s="111">
        <f>CT26*CV26</f>
        <v>0</v>
      </c>
      <c r="CX26" s="111"/>
      <c r="CY26" s="111">
        <f>(CT26+CW26)*CX26</f>
        <v>0</v>
      </c>
      <c r="CZ26" s="111">
        <f>(CT26+CW26)*20%</f>
        <v>0</v>
      </c>
      <c r="DA26" s="115">
        <f>CT26+CU26+CW26+CY26+CZ26</f>
        <v>0</v>
      </c>
      <c r="DB26" s="111">
        <f>H26+S26+S27+S28+AD26+AO26+AO27+AZ26+BK26+CG26+CG27+CG28+CG29+CG30+CG31+CG32+S29</f>
        <v>13.5</v>
      </c>
      <c r="DC26" s="118">
        <f>Q26+AB26+AB27+AB28+AM26+AX26+AX27+BI26+BT26+CP26+CP27+CP28+CP29+CP30+CP31+CP32+AB29</f>
        <v>73592</v>
      </c>
    </row>
    <row r="27" spans="1:107" s="119" customFormat="1" ht="31.5" customHeight="1">
      <c r="A27" s="111"/>
      <c r="B27" s="111"/>
      <c r="C27" s="111"/>
      <c r="D27" s="111"/>
      <c r="E27" s="111"/>
      <c r="F27" s="123"/>
      <c r="G27" s="113"/>
      <c r="H27" s="111"/>
      <c r="I27" s="111"/>
      <c r="J27" s="111"/>
      <c r="K27" s="111"/>
      <c r="L27" s="111"/>
      <c r="M27" s="111"/>
      <c r="N27" s="111"/>
      <c r="O27" s="111"/>
      <c r="P27" s="111"/>
      <c r="Q27" s="115"/>
      <c r="R27" s="111"/>
      <c r="S27" s="111">
        <v>1</v>
      </c>
      <c r="T27" s="125">
        <f>J26*95%</f>
        <v>4560</v>
      </c>
      <c r="U27" s="111">
        <f t="shared" si="48"/>
        <v>4560</v>
      </c>
      <c r="V27" s="111"/>
      <c r="W27" s="111"/>
      <c r="X27" s="111"/>
      <c r="Y27" s="114">
        <v>0.3</v>
      </c>
      <c r="Z27" s="117">
        <f>(U27+X27)*Y27</f>
        <v>1368</v>
      </c>
      <c r="AA27" s="117">
        <f t="shared" si="56"/>
        <v>912</v>
      </c>
      <c r="AB27" s="118">
        <f>U27+V27+X27+Z27+AA27</f>
        <v>6840</v>
      </c>
      <c r="AC27" s="111"/>
      <c r="AD27" s="111"/>
      <c r="AE27" s="111"/>
      <c r="AF27" s="111">
        <f t="shared" si="50"/>
        <v>0</v>
      </c>
      <c r="AG27" s="111"/>
      <c r="AH27" s="111"/>
      <c r="AI27" s="111"/>
      <c r="AJ27" s="111"/>
      <c r="AK27" s="111"/>
      <c r="AL27" s="111">
        <f t="shared" si="52"/>
        <v>0</v>
      </c>
      <c r="AM27" s="115"/>
      <c r="AN27" s="111">
        <v>12</v>
      </c>
      <c r="AO27" s="111">
        <v>1.5</v>
      </c>
      <c r="AP27" s="111">
        <v>3392</v>
      </c>
      <c r="AQ27" s="111">
        <f>AO27*AP27</f>
        <v>5088</v>
      </c>
      <c r="AR27" s="111"/>
      <c r="AS27" s="111"/>
      <c r="AT27" s="111"/>
      <c r="AU27" s="114">
        <v>0.3</v>
      </c>
      <c r="AV27" s="111">
        <f>(AQ27+AT27)*AU27</f>
        <v>1526.3999999999999</v>
      </c>
      <c r="AW27" s="111">
        <f t="shared" si="51"/>
        <v>2544</v>
      </c>
      <c r="AX27" s="115">
        <f>AQ27+AR27+AT27+AV27+AW27</f>
        <v>9158.4</v>
      </c>
      <c r="AY27" s="111"/>
      <c r="AZ27" s="111"/>
      <c r="BA27" s="111"/>
      <c r="BB27" s="111"/>
      <c r="BC27" s="111"/>
      <c r="BD27" s="111"/>
      <c r="BE27" s="111"/>
      <c r="BF27" s="111"/>
      <c r="BG27" s="111"/>
      <c r="BH27" s="111">
        <f t="shared" si="53"/>
        <v>0</v>
      </c>
      <c r="BI27" s="115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>
        <f t="shared" si="54"/>
        <v>0</v>
      </c>
      <c r="BT27" s="115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5"/>
      <c r="CF27" s="111">
        <v>12</v>
      </c>
      <c r="CG27" s="111">
        <v>1</v>
      </c>
      <c r="CH27" s="111">
        <v>3392</v>
      </c>
      <c r="CI27" s="111">
        <f t="shared" si="57"/>
        <v>3392</v>
      </c>
      <c r="CJ27" s="111"/>
      <c r="CK27" s="111"/>
      <c r="CL27" s="111"/>
      <c r="CM27" s="114">
        <v>0.3</v>
      </c>
      <c r="CN27" s="111">
        <f t="shared" si="58"/>
        <v>1017.5999999999999</v>
      </c>
      <c r="CO27" s="111">
        <f t="shared" si="55"/>
        <v>678.4000000000001</v>
      </c>
      <c r="CP27" s="118">
        <f t="shared" si="59"/>
        <v>5088</v>
      </c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5"/>
      <c r="DB27" s="111"/>
      <c r="DC27" s="118"/>
    </row>
    <row r="28" spans="1:107" s="119" customFormat="1" ht="31.5" customHeight="1">
      <c r="A28" s="111"/>
      <c r="B28" s="111"/>
      <c r="C28" s="111"/>
      <c r="D28" s="111"/>
      <c r="E28" s="111"/>
      <c r="F28" s="123"/>
      <c r="G28" s="113"/>
      <c r="H28" s="111"/>
      <c r="I28" s="111"/>
      <c r="J28" s="111"/>
      <c r="K28" s="111"/>
      <c r="L28" s="111"/>
      <c r="M28" s="111"/>
      <c r="N28" s="111"/>
      <c r="O28" s="111"/>
      <c r="P28" s="111"/>
      <c r="Q28" s="115"/>
      <c r="R28" s="111"/>
      <c r="S28" s="111">
        <v>1</v>
      </c>
      <c r="T28" s="125">
        <f>J26*95%</f>
        <v>4560</v>
      </c>
      <c r="U28" s="111">
        <f t="shared" si="48"/>
        <v>4560</v>
      </c>
      <c r="V28" s="111"/>
      <c r="W28" s="111"/>
      <c r="X28" s="111"/>
      <c r="Y28" s="114">
        <v>0.2</v>
      </c>
      <c r="Z28" s="117">
        <f>(U28+X28)*Y28</f>
        <v>912</v>
      </c>
      <c r="AA28" s="117">
        <f t="shared" si="56"/>
        <v>912</v>
      </c>
      <c r="AB28" s="118">
        <f>U28+V28+X28+Z28+AA28</f>
        <v>6384</v>
      </c>
      <c r="AC28" s="111"/>
      <c r="AD28" s="111"/>
      <c r="AE28" s="111"/>
      <c r="AF28" s="111">
        <f t="shared" si="50"/>
        <v>0</v>
      </c>
      <c r="AG28" s="111"/>
      <c r="AH28" s="111"/>
      <c r="AI28" s="111"/>
      <c r="AJ28" s="111"/>
      <c r="AK28" s="111"/>
      <c r="AL28" s="111">
        <f t="shared" si="52"/>
        <v>0</v>
      </c>
      <c r="AM28" s="115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>
        <f t="shared" si="51"/>
        <v>0</v>
      </c>
      <c r="AX28" s="115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>
        <f t="shared" si="53"/>
        <v>0</v>
      </c>
      <c r="BI28" s="115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>
        <f t="shared" si="54"/>
        <v>0</v>
      </c>
      <c r="BT28" s="115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5"/>
      <c r="CF28" s="111">
        <v>11</v>
      </c>
      <c r="CG28" s="111">
        <v>0.5</v>
      </c>
      <c r="CH28" s="111">
        <v>3152</v>
      </c>
      <c r="CI28" s="111">
        <f t="shared" si="57"/>
        <v>1576</v>
      </c>
      <c r="CJ28" s="111"/>
      <c r="CK28" s="111"/>
      <c r="CL28" s="111"/>
      <c r="CM28" s="114">
        <v>0.1</v>
      </c>
      <c r="CN28" s="117">
        <f t="shared" si="58"/>
        <v>157.60000000000002</v>
      </c>
      <c r="CO28" s="111">
        <f t="shared" si="55"/>
        <v>315.20000000000005</v>
      </c>
      <c r="CP28" s="118">
        <f t="shared" si="59"/>
        <v>2048.8</v>
      </c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5"/>
      <c r="DB28" s="111"/>
      <c r="DC28" s="118"/>
    </row>
    <row r="29" spans="1:107" s="119" customFormat="1" ht="31.5" customHeight="1">
      <c r="A29" s="111"/>
      <c r="B29" s="111"/>
      <c r="C29" s="111"/>
      <c r="D29" s="111"/>
      <c r="E29" s="111"/>
      <c r="F29" s="123"/>
      <c r="G29" s="113"/>
      <c r="H29" s="111"/>
      <c r="I29" s="111"/>
      <c r="J29" s="111"/>
      <c r="K29" s="111"/>
      <c r="L29" s="111"/>
      <c r="M29" s="111"/>
      <c r="N29" s="111"/>
      <c r="O29" s="111"/>
      <c r="P29" s="111"/>
      <c r="Q29" s="115"/>
      <c r="R29" s="111"/>
      <c r="S29" s="111">
        <v>0.5</v>
      </c>
      <c r="T29" s="125">
        <f>J26*95%</f>
        <v>4560</v>
      </c>
      <c r="U29" s="111">
        <f>S29*T29</f>
        <v>2280</v>
      </c>
      <c r="V29" s="111"/>
      <c r="W29" s="111"/>
      <c r="X29" s="111"/>
      <c r="Y29" s="114">
        <v>0.3</v>
      </c>
      <c r="Z29" s="117">
        <f>(U29+X29)*Y29</f>
        <v>684</v>
      </c>
      <c r="AA29" s="117">
        <f t="shared" si="56"/>
        <v>456</v>
      </c>
      <c r="AB29" s="118">
        <f>U29+V29+X29+Z29+AA29</f>
        <v>3420</v>
      </c>
      <c r="AC29" s="111"/>
      <c r="AD29" s="111"/>
      <c r="AE29" s="111"/>
      <c r="AF29" s="111">
        <f t="shared" si="50"/>
        <v>0</v>
      </c>
      <c r="AG29" s="111"/>
      <c r="AH29" s="111"/>
      <c r="AI29" s="111"/>
      <c r="AJ29" s="111"/>
      <c r="AK29" s="111"/>
      <c r="AL29" s="111">
        <f t="shared" si="52"/>
        <v>0</v>
      </c>
      <c r="AM29" s="115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>
        <f t="shared" si="51"/>
        <v>0</v>
      </c>
      <c r="AX29" s="115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>
        <f t="shared" si="53"/>
        <v>0</v>
      </c>
      <c r="BI29" s="115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>
        <f t="shared" si="54"/>
        <v>0</v>
      </c>
      <c r="BT29" s="115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5"/>
      <c r="CF29" s="111">
        <v>14</v>
      </c>
      <c r="CG29" s="120">
        <v>0.5</v>
      </c>
      <c r="CH29" s="111">
        <v>3872</v>
      </c>
      <c r="CI29" s="111">
        <f t="shared" si="57"/>
        <v>1936</v>
      </c>
      <c r="CJ29" s="111"/>
      <c r="CK29" s="111"/>
      <c r="CL29" s="111"/>
      <c r="CM29" s="114">
        <v>0.3</v>
      </c>
      <c r="CN29" s="111">
        <f t="shared" si="58"/>
        <v>580.8</v>
      </c>
      <c r="CO29" s="111">
        <f t="shared" si="55"/>
        <v>387.20000000000005</v>
      </c>
      <c r="CP29" s="115">
        <f t="shared" si="59"/>
        <v>2904</v>
      </c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5"/>
      <c r="DB29" s="111"/>
      <c r="DC29" s="118"/>
    </row>
    <row r="30" spans="1:107" s="119" customFormat="1" ht="31.5" customHeight="1">
      <c r="A30" s="111"/>
      <c r="B30" s="111"/>
      <c r="C30" s="111"/>
      <c r="D30" s="111"/>
      <c r="E30" s="111"/>
      <c r="F30" s="123"/>
      <c r="G30" s="113"/>
      <c r="H30" s="111"/>
      <c r="I30" s="111"/>
      <c r="J30" s="111"/>
      <c r="K30" s="111"/>
      <c r="L30" s="111"/>
      <c r="M30" s="111"/>
      <c r="N30" s="111"/>
      <c r="O30" s="111"/>
      <c r="P30" s="111"/>
      <c r="Q30" s="115"/>
      <c r="R30" s="111"/>
      <c r="S30" s="111"/>
      <c r="T30" s="125"/>
      <c r="U30" s="111"/>
      <c r="V30" s="111"/>
      <c r="W30" s="111"/>
      <c r="X30" s="111"/>
      <c r="Y30" s="114"/>
      <c r="Z30" s="117"/>
      <c r="AA30" s="111">
        <f t="shared" si="56"/>
        <v>0</v>
      </c>
      <c r="AB30" s="118"/>
      <c r="AC30" s="111"/>
      <c r="AD30" s="111"/>
      <c r="AE30" s="111"/>
      <c r="AF30" s="111">
        <f t="shared" si="50"/>
        <v>0</v>
      </c>
      <c r="AG30" s="111"/>
      <c r="AH30" s="111"/>
      <c r="AI30" s="111"/>
      <c r="AJ30" s="111"/>
      <c r="AK30" s="111"/>
      <c r="AL30" s="111">
        <f t="shared" si="52"/>
        <v>0</v>
      </c>
      <c r="AM30" s="115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>
        <f t="shared" si="51"/>
        <v>0</v>
      </c>
      <c r="AX30" s="115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>
        <f t="shared" si="53"/>
        <v>0</v>
      </c>
      <c r="BI30" s="115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>
        <f t="shared" si="54"/>
        <v>0</v>
      </c>
      <c r="BT30" s="115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5"/>
      <c r="CF30" s="111">
        <v>14</v>
      </c>
      <c r="CG30" s="120">
        <v>0.5</v>
      </c>
      <c r="CH30" s="111">
        <v>3872</v>
      </c>
      <c r="CI30" s="111">
        <f t="shared" si="57"/>
        <v>1936</v>
      </c>
      <c r="CJ30" s="111"/>
      <c r="CK30" s="111"/>
      <c r="CL30" s="111"/>
      <c r="CM30" s="114">
        <v>0.3</v>
      </c>
      <c r="CN30" s="111">
        <f t="shared" si="58"/>
        <v>580.8</v>
      </c>
      <c r="CO30" s="111">
        <f t="shared" si="55"/>
        <v>387.20000000000005</v>
      </c>
      <c r="CP30" s="115">
        <f t="shared" si="59"/>
        <v>2904</v>
      </c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5"/>
      <c r="DB30" s="111"/>
      <c r="DC30" s="118"/>
    </row>
    <row r="31" spans="1:107" s="119" customFormat="1" ht="31.5" customHeight="1">
      <c r="A31" s="111"/>
      <c r="B31" s="111"/>
      <c r="C31" s="111"/>
      <c r="D31" s="111"/>
      <c r="E31" s="111"/>
      <c r="F31" s="123"/>
      <c r="G31" s="113"/>
      <c r="H31" s="111"/>
      <c r="I31" s="111"/>
      <c r="J31" s="111"/>
      <c r="K31" s="111"/>
      <c r="L31" s="111"/>
      <c r="M31" s="111"/>
      <c r="N31" s="111"/>
      <c r="O31" s="111"/>
      <c r="P31" s="111"/>
      <c r="Q31" s="115"/>
      <c r="R31" s="111"/>
      <c r="S31" s="111"/>
      <c r="T31" s="125"/>
      <c r="U31" s="111"/>
      <c r="V31" s="111"/>
      <c r="W31" s="111"/>
      <c r="X31" s="111"/>
      <c r="Y31" s="114"/>
      <c r="Z31" s="117"/>
      <c r="AA31" s="111">
        <f t="shared" si="56"/>
        <v>0</v>
      </c>
      <c r="AB31" s="118"/>
      <c r="AC31" s="111"/>
      <c r="AD31" s="111"/>
      <c r="AE31" s="111"/>
      <c r="AF31" s="111">
        <f t="shared" si="50"/>
        <v>0</v>
      </c>
      <c r="AG31" s="111"/>
      <c r="AH31" s="111"/>
      <c r="AI31" s="111"/>
      <c r="AJ31" s="111"/>
      <c r="AK31" s="111"/>
      <c r="AL31" s="111">
        <f t="shared" si="52"/>
        <v>0</v>
      </c>
      <c r="AM31" s="115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>
        <f t="shared" si="51"/>
        <v>0</v>
      </c>
      <c r="AX31" s="115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>
        <f t="shared" si="53"/>
        <v>0</v>
      </c>
      <c r="BI31" s="115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>
        <f t="shared" si="54"/>
        <v>0</v>
      </c>
      <c r="BT31" s="115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5"/>
      <c r="CF31" s="111">
        <v>9</v>
      </c>
      <c r="CG31" s="120">
        <v>0.5</v>
      </c>
      <c r="CH31" s="111">
        <v>2768</v>
      </c>
      <c r="CI31" s="111">
        <f t="shared" si="57"/>
        <v>1384</v>
      </c>
      <c r="CJ31" s="111"/>
      <c r="CK31" s="111"/>
      <c r="CL31" s="111"/>
      <c r="CM31" s="114"/>
      <c r="CN31" s="111">
        <f t="shared" si="58"/>
        <v>0</v>
      </c>
      <c r="CO31" s="111">
        <f t="shared" si="55"/>
        <v>276.8</v>
      </c>
      <c r="CP31" s="115">
        <f t="shared" si="59"/>
        <v>1660.8</v>
      </c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5"/>
      <c r="DB31" s="111"/>
      <c r="DC31" s="118"/>
    </row>
    <row r="32" spans="1:107" s="119" customFormat="1" ht="31.5" customHeight="1">
      <c r="A32" s="111"/>
      <c r="B32" s="111"/>
      <c r="C32" s="111"/>
      <c r="D32" s="111"/>
      <c r="E32" s="111"/>
      <c r="F32" s="123"/>
      <c r="G32" s="113"/>
      <c r="H32" s="111"/>
      <c r="I32" s="111"/>
      <c r="J32" s="111"/>
      <c r="K32" s="111"/>
      <c r="L32" s="111"/>
      <c r="M32" s="111"/>
      <c r="N32" s="111"/>
      <c r="O32" s="111"/>
      <c r="P32" s="111"/>
      <c r="Q32" s="115"/>
      <c r="R32" s="111"/>
      <c r="S32" s="111"/>
      <c r="T32" s="125"/>
      <c r="U32" s="111"/>
      <c r="V32" s="111"/>
      <c r="W32" s="111"/>
      <c r="X32" s="111"/>
      <c r="Y32" s="114"/>
      <c r="Z32" s="117"/>
      <c r="AA32" s="111">
        <f t="shared" si="56"/>
        <v>0</v>
      </c>
      <c r="AB32" s="118"/>
      <c r="AC32" s="111"/>
      <c r="AD32" s="111"/>
      <c r="AE32" s="111"/>
      <c r="AF32" s="111">
        <f t="shared" si="50"/>
        <v>0</v>
      </c>
      <c r="AG32" s="111"/>
      <c r="AH32" s="111"/>
      <c r="AI32" s="111"/>
      <c r="AJ32" s="111"/>
      <c r="AK32" s="111"/>
      <c r="AL32" s="111">
        <f t="shared" si="52"/>
        <v>0</v>
      </c>
      <c r="AM32" s="115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>
        <f t="shared" si="51"/>
        <v>0</v>
      </c>
      <c r="AX32" s="115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>
        <f t="shared" si="53"/>
        <v>0</v>
      </c>
      <c r="BI32" s="115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>
        <f t="shared" si="54"/>
        <v>0</v>
      </c>
      <c r="BT32" s="115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5"/>
      <c r="CF32" s="111">
        <v>9</v>
      </c>
      <c r="CG32" s="120">
        <v>0.5</v>
      </c>
      <c r="CH32" s="111">
        <v>2768</v>
      </c>
      <c r="CI32" s="111">
        <f t="shared" si="57"/>
        <v>1384</v>
      </c>
      <c r="CJ32" s="111"/>
      <c r="CK32" s="111"/>
      <c r="CL32" s="111"/>
      <c r="CM32" s="114">
        <v>0.1</v>
      </c>
      <c r="CN32" s="111">
        <f t="shared" si="58"/>
        <v>138.4</v>
      </c>
      <c r="CO32" s="111">
        <f t="shared" si="55"/>
        <v>276.8</v>
      </c>
      <c r="CP32" s="115">
        <f t="shared" si="59"/>
        <v>1799.2</v>
      </c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5"/>
      <c r="DB32" s="111"/>
      <c r="DC32" s="118"/>
    </row>
    <row r="33" spans="1:107" s="119" customFormat="1" ht="31.5" customHeight="1">
      <c r="A33" s="111">
        <v>12</v>
      </c>
      <c r="B33" s="111" t="s">
        <v>56</v>
      </c>
      <c r="C33" s="111">
        <v>10</v>
      </c>
      <c r="D33" s="111">
        <v>10</v>
      </c>
      <c r="E33" s="111">
        <v>174</v>
      </c>
      <c r="F33" s="123" t="s">
        <v>154</v>
      </c>
      <c r="G33" s="113">
        <v>15</v>
      </c>
      <c r="H33" s="111">
        <v>1</v>
      </c>
      <c r="I33" s="111"/>
      <c r="J33" s="111">
        <v>4128</v>
      </c>
      <c r="K33" s="111"/>
      <c r="L33" s="114"/>
      <c r="M33" s="111">
        <f>J33*L33</f>
        <v>0</v>
      </c>
      <c r="N33" s="114">
        <v>0.3</v>
      </c>
      <c r="O33" s="117">
        <f>(J33+M33)*N33</f>
        <v>1238.3999999999999</v>
      </c>
      <c r="P33" s="111">
        <f>(J33+M33)*20%</f>
        <v>825.6</v>
      </c>
      <c r="Q33" s="115">
        <f>J33+K33+M33+O33+P33</f>
        <v>6192</v>
      </c>
      <c r="R33" s="111"/>
      <c r="S33" s="111">
        <v>1</v>
      </c>
      <c r="T33" s="111">
        <f>J33*95%</f>
        <v>3921.6</v>
      </c>
      <c r="U33" s="111">
        <f t="shared" si="48"/>
        <v>3921.6</v>
      </c>
      <c r="V33" s="111"/>
      <c r="W33" s="111"/>
      <c r="X33" s="111">
        <f>U33*W33</f>
        <v>0</v>
      </c>
      <c r="Y33" s="114">
        <v>0.2</v>
      </c>
      <c r="Z33" s="117">
        <f>(U33+X33)*Y33</f>
        <v>784.32</v>
      </c>
      <c r="AA33" s="111">
        <f t="shared" si="56"/>
        <v>784.32</v>
      </c>
      <c r="AB33" s="118">
        <f t="shared" si="49"/>
        <v>5490.24</v>
      </c>
      <c r="AC33" s="111">
        <v>14</v>
      </c>
      <c r="AD33" s="111">
        <v>1</v>
      </c>
      <c r="AE33" s="111">
        <v>4452.8</v>
      </c>
      <c r="AF33" s="111">
        <f t="shared" si="50"/>
        <v>4452.8</v>
      </c>
      <c r="AG33" s="111"/>
      <c r="AH33" s="111"/>
      <c r="AI33" s="111"/>
      <c r="AJ33" s="114">
        <v>0.3</v>
      </c>
      <c r="AK33" s="117">
        <f>(AF33+AG33)*AJ33</f>
        <v>1335.84</v>
      </c>
      <c r="AL33" s="111">
        <f t="shared" si="52"/>
        <v>890.5600000000001</v>
      </c>
      <c r="AM33" s="118">
        <f>AF33+AG33+AI33+AK33+AL33</f>
        <v>6679.200000000001</v>
      </c>
      <c r="AN33" s="111">
        <v>9</v>
      </c>
      <c r="AO33" s="111">
        <v>1</v>
      </c>
      <c r="AP33" s="111">
        <v>2624</v>
      </c>
      <c r="AQ33" s="111">
        <f>AO33*AP33</f>
        <v>2624</v>
      </c>
      <c r="AR33" s="111"/>
      <c r="AS33" s="111"/>
      <c r="AT33" s="111">
        <f>AQ33*AS33</f>
        <v>0</v>
      </c>
      <c r="AU33" s="114">
        <v>0.2</v>
      </c>
      <c r="AV33" s="111">
        <f>(AQ33+AT33)*AU33</f>
        <v>524.8000000000001</v>
      </c>
      <c r="AW33" s="111">
        <f t="shared" si="51"/>
        <v>1312</v>
      </c>
      <c r="AX33" s="115">
        <f>AQ33+AR33+AT33+AV33+AW33</f>
        <v>4460.8</v>
      </c>
      <c r="AY33" s="111">
        <v>12</v>
      </c>
      <c r="AZ33" s="111">
        <v>0.5</v>
      </c>
      <c r="BA33" s="111">
        <v>3392</v>
      </c>
      <c r="BB33" s="111">
        <f>AZ33*BA33</f>
        <v>1696</v>
      </c>
      <c r="BC33" s="111"/>
      <c r="BD33" s="111"/>
      <c r="BE33" s="111">
        <f>BB33*BD33</f>
        <v>0</v>
      </c>
      <c r="BF33" s="114">
        <v>0.1</v>
      </c>
      <c r="BG33" s="111">
        <f>(BB33+BE33)*BF33</f>
        <v>169.60000000000002</v>
      </c>
      <c r="BH33" s="111">
        <f t="shared" si="53"/>
        <v>339.20000000000005</v>
      </c>
      <c r="BI33" s="115">
        <f>BB33+BC33+BE33+BG33+BH33</f>
        <v>2204.8</v>
      </c>
      <c r="BJ33" s="111">
        <v>11</v>
      </c>
      <c r="BK33" s="116">
        <v>0.5</v>
      </c>
      <c r="BL33" s="111">
        <v>3152</v>
      </c>
      <c r="BM33" s="111">
        <f>BK33*BL33</f>
        <v>1576</v>
      </c>
      <c r="BN33" s="111"/>
      <c r="BO33" s="111"/>
      <c r="BP33" s="111">
        <f>BM33*BO33</f>
        <v>0</v>
      </c>
      <c r="BQ33" s="114">
        <v>0.1</v>
      </c>
      <c r="BR33" s="111">
        <f>(BM33+BP33)*BQ33</f>
        <v>157.60000000000002</v>
      </c>
      <c r="BS33" s="111">
        <f t="shared" si="54"/>
        <v>315.20000000000005</v>
      </c>
      <c r="BT33" s="115">
        <f>BM33+BN33+BP33+BR33+BS33</f>
        <v>2048.8</v>
      </c>
      <c r="BU33" s="111"/>
      <c r="BV33" s="111"/>
      <c r="BW33" s="111"/>
      <c r="BX33" s="111">
        <f>BV33*BW33</f>
        <v>0</v>
      </c>
      <c r="BY33" s="111"/>
      <c r="BZ33" s="111"/>
      <c r="CA33" s="111">
        <f>BX33*BZ33</f>
        <v>0</v>
      </c>
      <c r="CB33" s="111"/>
      <c r="CC33" s="111">
        <f>(BX33+CA33)*CB33</f>
        <v>0</v>
      </c>
      <c r="CD33" s="111">
        <f>(BX33+CA33)*20%</f>
        <v>0</v>
      </c>
      <c r="CE33" s="115">
        <f>BX33+BY33+CA33+CC33+CD33</f>
        <v>0</v>
      </c>
      <c r="CF33" s="111">
        <v>11</v>
      </c>
      <c r="CG33" s="111">
        <v>1</v>
      </c>
      <c r="CH33" s="111">
        <v>3152</v>
      </c>
      <c r="CI33" s="111">
        <f t="shared" si="57"/>
        <v>3152</v>
      </c>
      <c r="CJ33" s="111"/>
      <c r="CK33" s="111"/>
      <c r="CL33" s="111">
        <f>CI33*CK33</f>
        <v>0</v>
      </c>
      <c r="CM33" s="114">
        <v>0.2</v>
      </c>
      <c r="CN33" s="111">
        <f t="shared" si="58"/>
        <v>630.4000000000001</v>
      </c>
      <c r="CO33" s="111">
        <f>(CI33+CL33)*20%</f>
        <v>630.4000000000001</v>
      </c>
      <c r="CP33" s="115">
        <f t="shared" si="59"/>
        <v>4412.8</v>
      </c>
      <c r="CQ33" s="111"/>
      <c r="CR33" s="111"/>
      <c r="CS33" s="111"/>
      <c r="CT33" s="111">
        <f>CR33*CS33</f>
        <v>0</v>
      </c>
      <c r="CU33" s="111"/>
      <c r="CV33" s="111"/>
      <c r="CW33" s="111">
        <f>CT33*CV33</f>
        <v>0</v>
      </c>
      <c r="CX33" s="111"/>
      <c r="CY33" s="111">
        <f>(CT33+CW33)*CX33</f>
        <v>0</v>
      </c>
      <c r="CZ33" s="111">
        <f>(CT33+CW33)*20%</f>
        <v>0</v>
      </c>
      <c r="DA33" s="115">
        <f>CT33+CU33+CW33+CY33+CZ33</f>
        <v>0</v>
      </c>
      <c r="DB33" s="111">
        <f>H33+S33+S34+AD33+AO33+AZ33+BK33+CG33+CG34+CG36+CG35</f>
        <v>8</v>
      </c>
      <c r="DC33" s="118">
        <f>Q33+AB33+AB34+AM33+AX33+CP33+BI33+BT33+CP34+CP36+CP35</f>
        <v>40774.16</v>
      </c>
    </row>
    <row r="34" spans="1:107" s="119" customFormat="1" ht="31.5" customHeight="1">
      <c r="A34" s="111"/>
      <c r="B34" s="111"/>
      <c r="C34" s="111"/>
      <c r="D34" s="111"/>
      <c r="E34" s="111"/>
      <c r="F34" s="123"/>
      <c r="G34" s="113"/>
      <c r="H34" s="111"/>
      <c r="I34" s="111"/>
      <c r="J34" s="111"/>
      <c r="K34" s="111"/>
      <c r="L34" s="114"/>
      <c r="M34" s="111"/>
      <c r="N34" s="114"/>
      <c r="O34" s="117"/>
      <c r="P34" s="111"/>
      <c r="Q34" s="115"/>
      <c r="R34" s="111"/>
      <c r="S34" s="111">
        <v>0.5</v>
      </c>
      <c r="T34" s="111">
        <f>J33*95%</f>
        <v>3921.6</v>
      </c>
      <c r="U34" s="111">
        <f t="shared" si="48"/>
        <v>1960.8</v>
      </c>
      <c r="V34" s="111"/>
      <c r="W34" s="111"/>
      <c r="X34" s="111"/>
      <c r="Y34" s="114">
        <v>0.2</v>
      </c>
      <c r="Z34" s="117">
        <f>(U34+X34)*Y34</f>
        <v>392.16</v>
      </c>
      <c r="AA34" s="111">
        <f t="shared" si="56"/>
        <v>392.16</v>
      </c>
      <c r="AB34" s="118">
        <f t="shared" si="49"/>
        <v>2745.12</v>
      </c>
      <c r="AC34" s="111"/>
      <c r="AD34" s="111"/>
      <c r="AE34" s="111"/>
      <c r="AF34" s="111">
        <f t="shared" si="50"/>
        <v>0</v>
      </c>
      <c r="AG34" s="111"/>
      <c r="AH34" s="111"/>
      <c r="AI34" s="111"/>
      <c r="AJ34" s="111"/>
      <c r="AK34" s="111"/>
      <c r="AL34" s="111">
        <f t="shared" si="52"/>
        <v>0</v>
      </c>
      <c r="AM34" s="115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>
        <f t="shared" si="51"/>
        <v>0</v>
      </c>
      <c r="AX34" s="115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>
        <f t="shared" si="53"/>
        <v>0</v>
      </c>
      <c r="BI34" s="115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>
        <f t="shared" si="54"/>
        <v>0</v>
      </c>
      <c r="BT34" s="115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5"/>
      <c r="CF34" s="111">
        <v>11</v>
      </c>
      <c r="CG34" s="120">
        <v>1</v>
      </c>
      <c r="CH34" s="111">
        <v>3152</v>
      </c>
      <c r="CI34" s="111">
        <f t="shared" si="57"/>
        <v>3152</v>
      </c>
      <c r="CJ34" s="111"/>
      <c r="CK34" s="111"/>
      <c r="CL34" s="111"/>
      <c r="CM34" s="114">
        <v>0.2</v>
      </c>
      <c r="CN34" s="111">
        <f t="shared" si="58"/>
        <v>630.4000000000001</v>
      </c>
      <c r="CO34" s="117">
        <f>(CI34+CL34)*20%</f>
        <v>630.4000000000001</v>
      </c>
      <c r="CP34" s="118">
        <f t="shared" si="59"/>
        <v>4412.8</v>
      </c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5"/>
      <c r="DB34" s="111"/>
      <c r="DC34" s="118"/>
    </row>
    <row r="35" spans="1:107" s="119" customFormat="1" ht="31.5" customHeight="1">
      <c r="A35" s="111"/>
      <c r="B35" s="111"/>
      <c r="C35" s="111"/>
      <c r="D35" s="111"/>
      <c r="E35" s="111"/>
      <c r="F35" s="123"/>
      <c r="G35" s="113"/>
      <c r="H35" s="111"/>
      <c r="I35" s="111"/>
      <c r="J35" s="111"/>
      <c r="K35" s="111"/>
      <c r="L35" s="114"/>
      <c r="M35" s="111"/>
      <c r="N35" s="114"/>
      <c r="O35" s="117"/>
      <c r="P35" s="111"/>
      <c r="Q35" s="115"/>
      <c r="R35" s="111"/>
      <c r="S35" s="111"/>
      <c r="T35" s="111"/>
      <c r="U35" s="111"/>
      <c r="V35" s="111"/>
      <c r="W35" s="111"/>
      <c r="X35" s="111"/>
      <c r="Y35" s="114"/>
      <c r="Z35" s="117"/>
      <c r="AA35" s="111"/>
      <c r="AB35" s="118"/>
      <c r="AC35" s="111"/>
      <c r="AD35" s="111"/>
      <c r="AE35" s="111"/>
      <c r="AF35" s="111">
        <f t="shared" si="50"/>
        <v>0</v>
      </c>
      <c r="AG35" s="111"/>
      <c r="AH35" s="111"/>
      <c r="AI35" s="111"/>
      <c r="AJ35" s="111"/>
      <c r="AK35" s="111"/>
      <c r="AL35" s="111"/>
      <c r="AM35" s="115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5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5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5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5"/>
      <c r="CF35" s="111">
        <v>11</v>
      </c>
      <c r="CG35" s="120">
        <v>0.25</v>
      </c>
      <c r="CH35" s="111">
        <v>3152</v>
      </c>
      <c r="CI35" s="111">
        <f t="shared" si="57"/>
        <v>788</v>
      </c>
      <c r="CJ35" s="111"/>
      <c r="CK35" s="111"/>
      <c r="CL35" s="111"/>
      <c r="CM35" s="114">
        <v>0.1</v>
      </c>
      <c r="CN35" s="111">
        <f t="shared" si="58"/>
        <v>78.80000000000001</v>
      </c>
      <c r="CO35" s="117">
        <f>(CI35+CL35)*20%</f>
        <v>157.60000000000002</v>
      </c>
      <c r="CP35" s="118">
        <f t="shared" si="59"/>
        <v>1024.4</v>
      </c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5"/>
      <c r="DB35" s="111"/>
      <c r="DC35" s="118"/>
    </row>
    <row r="36" spans="1:107" s="119" customFormat="1" ht="31.5" customHeight="1">
      <c r="A36" s="111"/>
      <c r="B36" s="111"/>
      <c r="C36" s="111"/>
      <c r="D36" s="111"/>
      <c r="E36" s="111"/>
      <c r="F36" s="123"/>
      <c r="G36" s="113"/>
      <c r="H36" s="111"/>
      <c r="I36" s="111"/>
      <c r="J36" s="111"/>
      <c r="K36" s="111"/>
      <c r="L36" s="114"/>
      <c r="M36" s="111"/>
      <c r="N36" s="114"/>
      <c r="O36" s="117"/>
      <c r="P36" s="111"/>
      <c r="Q36" s="115"/>
      <c r="R36" s="111"/>
      <c r="S36" s="111"/>
      <c r="T36" s="111"/>
      <c r="U36" s="111"/>
      <c r="V36" s="111"/>
      <c r="W36" s="111"/>
      <c r="X36" s="111"/>
      <c r="Y36" s="114"/>
      <c r="Z36" s="117"/>
      <c r="AA36" s="117"/>
      <c r="AB36" s="118"/>
      <c r="AC36" s="111"/>
      <c r="AD36" s="111"/>
      <c r="AE36" s="111"/>
      <c r="AF36" s="111">
        <f t="shared" si="50"/>
        <v>0</v>
      </c>
      <c r="AG36" s="111"/>
      <c r="AH36" s="111"/>
      <c r="AI36" s="111"/>
      <c r="AJ36" s="111"/>
      <c r="AK36" s="111"/>
      <c r="AL36" s="111">
        <f t="shared" si="52"/>
        <v>0</v>
      </c>
      <c r="AM36" s="115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>
        <f t="shared" si="51"/>
        <v>0</v>
      </c>
      <c r="AX36" s="115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>
        <f t="shared" si="53"/>
        <v>0</v>
      </c>
      <c r="BI36" s="115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>
        <f t="shared" si="54"/>
        <v>0</v>
      </c>
      <c r="BT36" s="115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5"/>
      <c r="CF36" s="111">
        <v>11</v>
      </c>
      <c r="CG36" s="120">
        <v>0.25</v>
      </c>
      <c r="CH36" s="111">
        <v>3152</v>
      </c>
      <c r="CI36" s="111">
        <f t="shared" si="57"/>
        <v>788</v>
      </c>
      <c r="CJ36" s="111"/>
      <c r="CK36" s="111"/>
      <c r="CL36" s="111"/>
      <c r="CM36" s="114">
        <v>0.2</v>
      </c>
      <c r="CN36" s="111">
        <f t="shared" si="58"/>
        <v>157.60000000000002</v>
      </c>
      <c r="CO36" s="117">
        <f>(CI36+CL36)*20%</f>
        <v>157.60000000000002</v>
      </c>
      <c r="CP36" s="115">
        <f t="shared" si="59"/>
        <v>1103.2</v>
      </c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5"/>
      <c r="DB36" s="111"/>
      <c r="DC36" s="118"/>
    </row>
    <row r="37" spans="1:107" s="87" customFormat="1" ht="25.5">
      <c r="A37" s="84"/>
      <c r="B37" s="84" t="s">
        <v>57</v>
      </c>
      <c r="C37" s="84">
        <f>C23+C26+C33</f>
        <v>54</v>
      </c>
      <c r="D37" s="84">
        <f>D23+D26+D33</f>
        <v>54</v>
      </c>
      <c r="E37" s="84">
        <f>E23+E26+E33</f>
        <v>858</v>
      </c>
      <c r="F37" s="84">
        <f>F23+F26+F33</f>
        <v>10</v>
      </c>
      <c r="G37" s="84"/>
      <c r="H37" s="84">
        <f>H23+H26+H33</f>
        <v>3</v>
      </c>
      <c r="I37" s="84"/>
      <c r="J37" s="84">
        <f aca="true" t="shared" si="60" ref="J37:R37">J23+J24+J25+J26+J27+J28+J33+J34</f>
        <v>14064</v>
      </c>
      <c r="K37" s="84">
        <f t="shared" si="60"/>
        <v>513.6</v>
      </c>
      <c r="L37" s="84">
        <f t="shared" si="60"/>
        <v>0</v>
      </c>
      <c r="M37" s="84">
        <f t="shared" si="60"/>
        <v>0</v>
      </c>
      <c r="N37" s="84">
        <f t="shared" si="60"/>
        <v>0.8999999999999999</v>
      </c>
      <c r="O37" s="84">
        <f t="shared" si="60"/>
        <v>4373.28</v>
      </c>
      <c r="P37" s="84">
        <f t="shared" si="60"/>
        <v>2915.52</v>
      </c>
      <c r="Q37" s="84">
        <f t="shared" si="60"/>
        <v>21866.4</v>
      </c>
      <c r="R37" s="84">
        <f t="shared" si="60"/>
        <v>0</v>
      </c>
      <c r="S37" s="84">
        <f>S23+S24+S25+S26+S27+S28+S33+S34+S29</f>
        <v>8</v>
      </c>
      <c r="T37" s="84">
        <f aca="true" t="shared" si="61" ref="T37:CE37">T23+T24+T25+T26+T27+T28+T33+T34+T29</f>
        <v>40720.799999999996</v>
      </c>
      <c r="U37" s="84">
        <f t="shared" si="61"/>
        <v>36480</v>
      </c>
      <c r="V37" s="84">
        <f t="shared" si="61"/>
        <v>1463.76</v>
      </c>
      <c r="W37" s="84">
        <f t="shared" si="61"/>
        <v>0</v>
      </c>
      <c r="X37" s="84">
        <f t="shared" si="61"/>
        <v>0</v>
      </c>
      <c r="Y37" s="84"/>
      <c r="Z37" s="84">
        <f t="shared" si="61"/>
        <v>9802.176</v>
      </c>
      <c r="AA37" s="84">
        <f t="shared" si="61"/>
        <v>7588.7519999999995</v>
      </c>
      <c r="AB37" s="84">
        <f t="shared" si="61"/>
        <v>55334.687999999995</v>
      </c>
      <c r="AC37" s="84">
        <f t="shared" si="61"/>
        <v>38</v>
      </c>
      <c r="AD37" s="84">
        <f t="shared" si="61"/>
        <v>3</v>
      </c>
      <c r="AE37" s="84">
        <f t="shared" si="61"/>
        <v>11236.8</v>
      </c>
      <c r="AF37" s="84">
        <f t="shared" si="61"/>
        <v>11236.8</v>
      </c>
      <c r="AG37" s="84">
        <f t="shared" si="61"/>
        <v>363.20000000000005</v>
      </c>
      <c r="AH37" s="84">
        <f t="shared" si="61"/>
        <v>0</v>
      </c>
      <c r="AI37" s="84">
        <f t="shared" si="61"/>
        <v>0</v>
      </c>
      <c r="AJ37" s="84">
        <f t="shared" si="61"/>
        <v>0.5</v>
      </c>
      <c r="AK37" s="84">
        <f t="shared" si="61"/>
        <v>2134.88</v>
      </c>
      <c r="AL37" s="84">
        <f t="shared" si="61"/>
        <v>2320</v>
      </c>
      <c r="AM37" s="84">
        <f t="shared" si="61"/>
        <v>16054.880000000001</v>
      </c>
      <c r="AN37" s="84">
        <f t="shared" si="61"/>
        <v>39</v>
      </c>
      <c r="AO37" s="84">
        <f t="shared" si="61"/>
        <v>4</v>
      </c>
      <c r="AP37" s="84">
        <f t="shared" si="61"/>
        <v>11408</v>
      </c>
      <c r="AQ37" s="84">
        <f t="shared" si="61"/>
        <v>11792</v>
      </c>
      <c r="AR37" s="84">
        <f t="shared" si="61"/>
        <v>0</v>
      </c>
      <c r="AS37" s="84">
        <f t="shared" si="61"/>
        <v>0</v>
      </c>
      <c r="AT37" s="84">
        <f t="shared" si="61"/>
        <v>0</v>
      </c>
      <c r="AU37" s="84">
        <f t="shared" si="61"/>
        <v>0.6000000000000001</v>
      </c>
      <c r="AV37" s="84">
        <f t="shared" si="61"/>
        <v>2328</v>
      </c>
      <c r="AW37" s="84">
        <f t="shared" si="61"/>
        <v>5896</v>
      </c>
      <c r="AX37" s="84">
        <f t="shared" si="61"/>
        <v>20016</v>
      </c>
      <c r="AY37" s="84">
        <f t="shared" si="61"/>
        <v>23</v>
      </c>
      <c r="AZ37" s="84">
        <f t="shared" si="61"/>
        <v>2.25</v>
      </c>
      <c r="BA37" s="84">
        <f t="shared" si="61"/>
        <v>10176</v>
      </c>
      <c r="BB37" s="84">
        <f t="shared" si="61"/>
        <v>7692</v>
      </c>
      <c r="BC37" s="84">
        <f t="shared" si="61"/>
        <v>363.20000000000005</v>
      </c>
      <c r="BD37" s="84">
        <f t="shared" si="61"/>
        <v>0</v>
      </c>
      <c r="BE37" s="84">
        <f t="shared" si="61"/>
        <v>0</v>
      </c>
      <c r="BF37" s="84">
        <f t="shared" si="61"/>
        <v>0.6</v>
      </c>
      <c r="BG37" s="84">
        <f t="shared" si="61"/>
        <v>1840.96</v>
      </c>
      <c r="BH37" s="84">
        <f t="shared" si="61"/>
        <v>1611.04</v>
      </c>
      <c r="BI37" s="84">
        <f t="shared" si="61"/>
        <v>11507.2</v>
      </c>
      <c r="BJ37" s="84">
        <f t="shared" si="61"/>
        <v>22</v>
      </c>
      <c r="BK37" s="84">
        <f t="shared" si="61"/>
        <v>1.75</v>
      </c>
      <c r="BL37" s="84">
        <f t="shared" si="61"/>
        <v>9456</v>
      </c>
      <c r="BM37" s="84">
        <f t="shared" si="61"/>
        <v>5516</v>
      </c>
      <c r="BN37" s="84">
        <f t="shared" si="61"/>
        <v>157.60000000000002</v>
      </c>
      <c r="BO37" s="84">
        <f t="shared" si="61"/>
        <v>0</v>
      </c>
      <c r="BP37" s="84">
        <f t="shared" si="61"/>
        <v>0</v>
      </c>
      <c r="BQ37" s="84">
        <f t="shared" si="61"/>
        <v>0.4</v>
      </c>
      <c r="BR37" s="84">
        <f t="shared" si="61"/>
        <v>677.68</v>
      </c>
      <c r="BS37" s="84">
        <f t="shared" si="61"/>
        <v>1134.72</v>
      </c>
      <c r="BT37" s="84">
        <f t="shared" si="61"/>
        <v>7486</v>
      </c>
      <c r="BU37" s="84">
        <f t="shared" si="61"/>
        <v>0</v>
      </c>
      <c r="BV37" s="84">
        <f t="shared" si="61"/>
        <v>0</v>
      </c>
      <c r="BW37" s="84">
        <f t="shared" si="61"/>
        <v>0</v>
      </c>
      <c r="BX37" s="84">
        <f t="shared" si="61"/>
        <v>0</v>
      </c>
      <c r="BY37" s="84">
        <f t="shared" si="61"/>
        <v>0</v>
      </c>
      <c r="BZ37" s="84">
        <f t="shared" si="61"/>
        <v>0</v>
      </c>
      <c r="CA37" s="84">
        <f t="shared" si="61"/>
        <v>0</v>
      </c>
      <c r="CB37" s="84">
        <f t="shared" si="61"/>
        <v>0</v>
      </c>
      <c r="CC37" s="84">
        <f t="shared" si="61"/>
        <v>0</v>
      </c>
      <c r="CD37" s="84">
        <f t="shared" si="61"/>
        <v>0</v>
      </c>
      <c r="CE37" s="84">
        <f t="shared" si="61"/>
        <v>0</v>
      </c>
      <c r="CF37" s="84"/>
      <c r="CG37" s="84">
        <f>SUM(CG23:CG36)</f>
        <v>10</v>
      </c>
      <c r="CH37" s="84">
        <f aca="true" t="shared" si="62" ref="CH37:DC37">CH23+CH24+CH25+CH26+CH27+CH28+CH33+CH34+CH29</f>
        <v>30288</v>
      </c>
      <c r="CI37" s="84">
        <f t="shared" si="62"/>
        <v>26776</v>
      </c>
      <c r="CJ37" s="84">
        <f t="shared" si="62"/>
        <v>0</v>
      </c>
      <c r="CK37" s="84">
        <f t="shared" si="62"/>
        <v>0</v>
      </c>
      <c r="CL37" s="84">
        <f t="shared" si="62"/>
        <v>0</v>
      </c>
      <c r="CM37" s="84"/>
      <c r="CN37" s="84">
        <f t="shared" si="62"/>
        <v>6723.999999999999</v>
      </c>
      <c r="CO37" s="84">
        <f t="shared" si="62"/>
        <v>5355.2</v>
      </c>
      <c r="CP37" s="84">
        <f t="shared" si="62"/>
        <v>38855.2</v>
      </c>
      <c r="CQ37" s="84">
        <f t="shared" si="62"/>
        <v>0</v>
      </c>
      <c r="CR37" s="84">
        <f t="shared" si="62"/>
        <v>0</v>
      </c>
      <c r="CS37" s="84">
        <f t="shared" si="62"/>
        <v>0</v>
      </c>
      <c r="CT37" s="84">
        <f t="shared" si="62"/>
        <v>0</v>
      </c>
      <c r="CU37" s="84">
        <f t="shared" si="62"/>
        <v>0</v>
      </c>
      <c r="CV37" s="84">
        <f t="shared" si="62"/>
        <v>0</v>
      </c>
      <c r="CW37" s="84">
        <f t="shared" si="62"/>
        <v>0</v>
      </c>
      <c r="CX37" s="84">
        <f t="shared" si="62"/>
        <v>0</v>
      </c>
      <c r="CY37" s="84">
        <f t="shared" si="62"/>
        <v>0</v>
      </c>
      <c r="CZ37" s="84">
        <f t="shared" si="62"/>
        <v>0</v>
      </c>
      <c r="DA37" s="84">
        <f t="shared" si="62"/>
        <v>0</v>
      </c>
      <c r="DB37" s="84">
        <f t="shared" si="62"/>
        <v>32</v>
      </c>
      <c r="DC37" s="85">
        <f t="shared" si="62"/>
        <v>179611.96800000002</v>
      </c>
    </row>
    <row r="38" spans="1:107" s="119" customFormat="1" ht="24.75" customHeight="1">
      <c r="A38" s="111">
        <v>13</v>
      </c>
      <c r="B38" s="111" t="s">
        <v>66</v>
      </c>
      <c r="C38" s="111">
        <v>2</v>
      </c>
      <c r="D38" s="111">
        <v>3</v>
      </c>
      <c r="E38" s="111">
        <v>28</v>
      </c>
      <c r="F38" s="112"/>
      <c r="G38" s="113">
        <v>15</v>
      </c>
      <c r="H38" s="111">
        <v>1</v>
      </c>
      <c r="I38" s="111"/>
      <c r="J38" s="111">
        <v>4128</v>
      </c>
      <c r="K38" s="111"/>
      <c r="L38" s="111"/>
      <c r="M38" s="111"/>
      <c r="N38" s="114">
        <v>0.3</v>
      </c>
      <c r="O38" s="111">
        <f aca="true" t="shared" si="63" ref="O38:O74">(J38+M38)*N38</f>
        <v>1238.3999999999999</v>
      </c>
      <c r="P38" s="111">
        <f aca="true" t="shared" si="64" ref="P38:P74">(J38+M38)*20%</f>
        <v>825.6</v>
      </c>
      <c r="Q38" s="115">
        <f>J38+K38+M38+O38+P38</f>
        <v>6192</v>
      </c>
      <c r="R38" s="111"/>
      <c r="S38" s="111"/>
      <c r="T38" s="111"/>
      <c r="U38" s="111">
        <f aca="true" t="shared" si="65" ref="U38:U77">S38*T38</f>
        <v>0</v>
      </c>
      <c r="V38" s="111"/>
      <c r="W38" s="111"/>
      <c r="X38" s="111">
        <f>U38*W38</f>
        <v>0</v>
      </c>
      <c r="Y38" s="111"/>
      <c r="Z38" s="111">
        <f>(U38+X38)*Y38</f>
        <v>0</v>
      </c>
      <c r="AA38" s="111">
        <f aca="true" t="shared" si="66" ref="AA38:AA77">(U38+X38)*20%</f>
        <v>0</v>
      </c>
      <c r="AB38" s="115">
        <f>U38+V38+X38+Z38+AA38</f>
        <v>0</v>
      </c>
      <c r="AC38" s="111"/>
      <c r="AD38" s="111"/>
      <c r="AE38" s="111"/>
      <c r="AF38" s="111">
        <f>AD38*AE38</f>
        <v>0</v>
      </c>
      <c r="AG38" s="111"/>
      <c r="AH38" s="111"/>
      <c r="AI38" s="111">
        <f>AF38*AH38</f>
        <v>0</v>
      </c>
      <c r="AJ38" s="111"/>
      <c r="AK38" s="111">
        <f>(AF38+AI38)*AJ38</f>
        <v>0</v>
      </c>
      <c r="AL38" s="111">
        <f aca="true" t="shared" si="67" ref="AL38:AL77">(AF38+AI38)*20%</f>
        <v>0</v>
      </c>
      <c r="AM38" s="115">
        <f>AF38+AG38+AI38+AK38+AL38</f>
        <v>0</v>
      </c>
      <c r="AN38" s="111"/>
      <c r="AO38" s="111"/>
      <c r="AP38" s="111"/>
      <c r="AQ38" s="111">
        <f>AO38*AP38</f>
        <v>0</v>
      </c>
      <c r="AR38" s="111"/>
      <c r="AS38" s="111"/>
      <c r="AT38" s="111">
        <f>AQ38*AS38</f>
        <v>0</v>
      </c>
      <c r="AU38" s="111"/>
      <c r="AV38" s="111">
        <f>(AQ38+AT38)*AU38</f>
        <v>0</v>
      </c>
      <c r="AW38" s="111">
        <f aca="true" t="shared" si="68" ref="AW38:AW77">AQ38*50%</f>
        <v>0</v>
      </c>
      <c r="AX38" s="115">
        <f>AQ38+AR38+AT38+AV38+AW38</f>
        <v>0</v>
      </c>
      <c r="AY38" s="111">
        <v>11</v>
      </c>
      <c r="AZ38" s="116">
        <v>0.25</v>
      </c>
      <c r="BA38" s="111">
        <v>3152</v>
      </c>
      <c r="BB38" s="111">
        <f>AZ38*BA38</f>
        <v>788</v>
      </c>
      <c r="BC38" s="111"/>
      <c r="BD38" s="111"/>
      <c r="BE38" s="111">
        <f>BB38*BD38</f>
        <v>0</v>
      </c>
      <c r="BF38" s="114">
        <v>0.1</v>
      </c>
      <c r="BG38" s="117">
        <f>(BB38+BE38)*BF38</f>
        <v>78.80000000000001</v>
      </c>
      <c r="BH38" s="111">
        <f aca="true" t="shared" si="69" ref="BH38:BH77">(BB38+BE38)*20%</f>
        <v>157.60000000000002</v>
      </c>
      <c r="BI38" s="118">
        <f>BB38+BC38+BE38+BG38+BH38</f>
        <v>1024.4</v>
      </c>
      <c r="BJ38" s="111">
        <v>11</v>
      </c>
      <c r="BK38" s="116">
        <v>0.25</v>
      </c>
      <c r="BL38" s="111">
        <v>3152</v>
      </c>
      <c r="BM38" s="111">
        <f>BK38*BL38</f>
        <v>788</v>
      </c>
      <c r="BN38" s="111"/>
      <c r="BO38" s="111"/>
      <c r="BP38" s="111">
        <f>BM38*BO38</f>
        <v>0</v>
      </c>
      <c r="BQ38" s="114">
        <v>0.1</v>
      </c>
      <c r="BR38" s="117">
        <f>(BM38+BP38)*BQ38</f>
        <v>78.80000000000001</v>
      </c>
      <c r="BS38" s="111">
        <f>(BM38+BP38)*20%</f>
        <v>157.60000000000002</v>
      </c>
      <c r="BT38" s="118">
        <f>BM38+BN38+BP38+BR38+BS38</f>
        <v>1024.4</v>
      </c>
      <c r="BU38" s="111"/>
      <c r="BV38" s="111"/>
      <c r="BW38" s="111"/>
      <c r="BX38" s="111">
        <f>BV38*BW38</f>
        <v>0</v>
      </c>
      <c r="BY38" s="111"/>
      <c r="BZ38" s="111"/>
      <c r="CA38" s="111">
        <f>BX38*BZ38</f>
        <v>0</v>
      </c>
      <c r="CB38" s="111"/>
      <c r="CC38" s="111">
        <f>(BX38+CA38)*CB38</f>
        <v>0</v>
      </c>
      <c r="CD38" s="111">
        <f>(BX38+CA38)*20%</f>
        <v>0</v>
      </c>
      <c r="CE38" s="115">
        <f>BX38+BY38+CA38+CC38+CD38</f>
        <v>0</v>
      </c>
      <c r="CF38" s="111"/>
      <c r="CG38" s="111"/>
      <c r="CH38" s="111"/>
      <c r="CI38" s="111">
        <f aca="true" t="shared" si="70" ref="CI38:CI77">CG38*CH38</f>
        <v>0</v>
      </c>
      <c r="CJ38" s="111"/>
      <c r="CK38" s="111"/>
      <c r="CL38" s="111">
        <f>CI38*CK38</f>
        <v>0</v>
      </c>
      <c r="CM38" s="111"/>
      <c r="CN38" s="111">
        <f>(CI38+CL38)*CM38</f>
        <v>0</v>
      </c>
      <c r="CO38" s="111">
        <f>(CI38+CL38)*20%</f>
        <v>0</v>
      </c>
      <c r="CP38" s="115">
        <f aca="true" t="shared" si="71" ref="CP38:CP77">CI38+CJ38+CL38+CN38+CO38</f>
        <v>0</v>
      </c>
      <c r="CQ38" s="111"/>
      <c r="CR38" s="111"/>
      <c r="CS38" s="111"/>
      <c r="CT38" s="111">
        <f>CR38*CS38</f>
        <v>0</v>
      </c>
      <c r="CU38" s="111"/>
      <c r="CV38" s="111"/>
      <c r="CW38" s="111">
        <f>CT38*CV38</f>
        <v>0</v>
      </c>
      <c r="CX38" s="111"/>
      <c r="CY38" s="111">
        <f>(CT38+CW38)*CX38</f>
        <v>0</v>
      </c>
      <c r="CZ38" s="111">
        <f>(CT38+CW38)*20%</f>
        <v>0</v>
      </c>
      <c r="DA38" s="115">
        <f>CT38+CU38+CW38+CY38+CZ38</f>
        <v>0</v>
      </c>
      <c r="DB38" s="111">
        <f>H38+S38+AD38+AZ38+BK38+BV38+CG38+CR38</f>
        <v>1.5</v>
      </c>
      <c r="DC38" s="118">
        <f>Q38+BI38+BT38</f>
        <v>8240.8</v>
      </c>
    </row>
    <row r="39" spans="1:107" ht="26.25">
      <c r="A39" s="8"/>
      <c r="B39" s="8"/>
      <c r="C39" s="8"/>
      <c r="D39" s="8"/>
      <c r="E39" s="8"/>
      <c r="F39" s="9"/>
      <c r="G39" s="10"/>
      <c r="H39" s="8"/>
      <c r="I39" s="8"/>
      <c r="J39" s="8"/>
      <c r="K39" s="8"/>
      <c r="L39" s="8"/>
      <c r="M39" s="8"/>
      <c r="N39" s="65"/>
      <c r="O39" s="121">
        <f t="shared" si="63"/>
        <v>0</v>
      </c>
      <c r="P39" s="121">
        <f t="shared" si="64"/>
        <v>0</v>
      </c>
      <c r="Q39" s="67"/>
      <c r="R39" s="8"/>
      <c r="S39" s="8"/>
      <c r="T39" s="8"/>
      <c r="U39" s="8"/>
      <c r="V39" s="8"/>
      <c r="W39" s="8"/>
      <c r="X39" s="8">
        <f>U39*W39</f>
        <v>0</v>
      </c>
      <c r="Y39" s="8"/>
      <c r="Z39" s="8"/>
      <c r="AA39" s="8">
        <f t="shared" si="66"/>
        <v>0</v>
      </c>
      <c r="AB39" s="67"/>
      <c r="AC39" s="8"/>
      <c r="AD39" s="8"/>
      <c r="AE39" s="8"/>
      <c r="AF39" s="8">
        <f aca="true" t="shared" si="72" ref="AF39:AF56">AD39*AE39</f>
        <v>0</v>
      </c>
      <c r="AG39" s="8"/>
      <c r="AH39" s="8"/>
      <c r="AI39" s="8">
        <f>AF39*AH39</f>
        <v>0</v>
      </c>
      <c r="AJ39" s="8"/>
      <c r="AK39" s="8"/>
      <c r="AL39" s="8">
        <f t="shared" si="67"/>
        <v>0</v>
      </c>
      <c r="AM39" s="67"/>
      <c r="AN39" s="8"/>
      <c r="AO39" s="8"/>
      <c r="AP39" s="8"/>
      <c r="AQ39" s="8"/>
      <c r="AR39" s="8"/>
      <c r="AS39" s="8"/>
      <c r="AT39" s="8">
        <f>AQ39*AS39</f>
        <v>0</v>
      </c>
      <c r="AU39" s="8"/>
      <c r="AV39" s="8"/>
      <c r="AW39" s="8">
        <f t="shared" si="68"/>
        <v>0</v>
      </c>
      <c r="AX39" s="67"/>
      <c r="AY39" s="8"/>
      <c r="AZ39" s="82"/>
      <c r="BA39" s="8"/>
      <c r="BB39" s="8"/>
      <c r="BC39" s="8"/>
      <c r="BD39" s="8"/>
      <c r="BE39" s="8">
        <f>BB39*BD39</f>
        <v>0</v>
      </c>
      <c r="BF39" s="65"/>
      <c r="BG39" s="8"/>
      <c r="BH39" s="8">
        <f t="shared" si="69"/>
        <v>0</v>
      </c>
      <c r="BI39" s="69"/>
      <c r="BJ39" s="8"/>
      <c r="BK39" s="8"/>
      <c r="BL39" s="8"/>
      <c r="BM39" s="8"/>
      <c r="BN39" s="8"/>
      <c r="BO39" s="8"/>
      <c r="BP39" s="8">
        <f>BM39*BO39</f>
        <v>0</v>
      </c>
      <c r="BQ39" s="65"/>
      <c r="BR39" s="8"/>
      <c r="BS39" s="8">
        <f aca="true" t="shared" si="73" ref="BS39:BS77">(BM39+BP39)*20%</f>
        <v>0</v>
      </c>
      <c r="BT39" s="69"/>
      <c r="BU39" s="8"/>
      <c r="BV39" s="8"/>
      <c r="BW39" s="8"/>
      <c r="BX39" s="8"/>
      <c r="BY39" s="8"/>
      <c r="BZ39" s="8"/>
      <c r="CA39" s="8">
        <f>BX39*BZ39</f>
        <v>0</v>
      </c>
      <c r="CB39" s="8"/>
      <c r="CC39" s="8"/>
      <c r="CD39" s="8"/>
      <c r="CE39" s="67"/>
      <c r="CF39" s="8"/>
      <c r="CG39" s="8"/>
      <c r="CH39" s="8"/>
      <c r="CI39" s="8"/>
      <c r="CJ39" s="8"/>
      <c r="CK39" s="8"/>
      <c r="CL39" s="8">
        <f>CI39*CK39</f>
        <v>0</v>
      </c>
      <c r="CM39" s="8"/>
      <c r="CN39" s="8"/>
      <c r="CO39" s="8"/>
      <c r="CP39" s="67"/>
      <c r="CQ39" s="8"/>
      <c r="CR39" s="8"/>
      <c r="CS39" s="8"/>
      <c r="CT39" s="8"/>
      <c r="CU39" s="8"/>
      <c r="CV39" s="8"/>
      <c r="CW39" s="8">
        <f>CT39*CV39</f>
        <v>0</v>
      </c>
      <c r="CX39" s="8"/>
      <c r="CY39" s="8"/>
      <c r="CZ39" s="8"/>
      <c r="DA39" s="67"/>
      <c r="DB39" s="8"/>
      <c r="DC39" s="67"/>
    </row>
    <row r="40" spans="1:107" s="119" customFormat="1" ht="31.5" customHeight="1">
      <c r="A40" s="111">
        <v>15</v>
      </c>
      <c r="B40" s="111" t="s">
        <v>68</v>
      </c>
      <c r="C40" s="111">
        <v>11</v>
      </c>
      <c r="D40" s="111">
        <v>11</v>
      </c>
      <c r="E40" s="111">
        <v>100</v>
      </c>
      <c r="F40" s="112"/>
      <c r="G40" s="113">
        <v>16</v>
      </c>
      <c r="H40" s="111">
        <v>1</v>
      </c>
      <c r="I40" s="111"/>
      <c r="J40" s="111">
        <v>4464</v>
      </c>
      <c r="K40" s="111"/>
      <c r="L40" s="111"/>
      <c r="M40" s="111"/>
      <c r="N40" s="114">
        <v>0.3</v>
      </c>
      <c r="O40" s="111">
        <f t="shared" si="63"/>
        <v>1339.2</v>
      </c>
      <c r="P40" s="111">
        <f t="shared" si="64"/>
        <v>892.8000000000001</v>
      </c>
      <c r="Q40" s="115">
        <f>J40+K40+M40+O40+P40</f>
        <v>6696</v>
      </c>
      <c r="R40" s="111"/>
      <c r="S40" s="111">
        <v>0.75</v>
      </c>
      <c r="T40" s="111">
        <f>J40*95%</f>
        <v>4240.8</v>
      </c>
      <c r="U40" s="117">
        <f t="shared" si="65"/>
        <v>3180.6000000000004</v>
      </c>
      <c r="V40" s="111"/>
      <c r="W40" s="111"/>
      <c r="X40" s="111">
        <f>U40*W40</f>
        <v>0</v>
      </c>
      <c r="Y40" s="114">
        <v>0.2</v>
      </c>
      <c r="Z40" s="117">
        <f>(U40+X40)*Y40</f>
        <v>636.1200000000001</v>
      </c>
      <c r="AA40" s="111">
        <f t="shared" si="66"/>
        <v>636.1200000000001</v>
      </c>
      <c r="AB40" s="118">
        <f>U40+V40+X40+Z40+AA40</f>
        <v>4452.84</v>
      </c>
      <c r="AC40" s="111">
        <v>11</v>
      </c>
      <c r="AD40" s="111">
        <v>1</v>
      </c>
      <c r="AE40" s="111">
        <v>3152</v>
      </c>
      <c r="AF40" s="111">
        <f t="shared" si="72"/>
        <v>3152</v>
      </c>
      <c r="AG40" s="111"/>
      <c r="AH40" s="111"/>
      <c r="AI40" s="111"/>
      <c r="AJ40" s="114"/>
      <c r="AK40" s="111">
        <f>(AF40+AI40)*AJ40</f>
        <v>0</v>
      </c>
      <c r="AL40" s="111">
        <f t="shared" si="67"/>
        <v>630.4000000000001</v>
      </c>
      <c r="AM40" s="115">
        <f>AF40+AG40+AI40+AK40+AL40</f>
        <v>3782.4</v>
      </c>
      <c r="AN40" s="111">
        <v>9</v>
      </c>
      <c r="AO40" s="111">
        <v>1</v>
      </c>
      <c r="AP40" s="111">
        <v>3152</v>
      </c>
      <c r="AQ40" s="111">
        <f>AO40*AP40</f>
        <v>3152</v>
      </c>
      <c r="AR40" s="111"/>
      <c r="AS40" s="111"/>
      <c r="AT40" s="111">
        <f>AQ40*AS40</f>
        <v>0</v>
      </c>
      <c r="AU40" s="111"/>
      <c r="AV40" s="111">
        <f>(AQ40+AT40)*AU40</f>
        <v>0</v>
      </c>
      <c r="AW40" s="111">
        <f t="shared" si="68"/>
        <v>1576</v>
      </c>
      <c r="AX40" s="115">
        <f>AQ40+AR40+AT40+AV40+AW40</f>
        <v>4728</v>
      </c>
      <c r="AY40" s="111">
        <v>11</v>
      </c>
      <c r="AZ40" s="111">
        <v>0.5</v>
      </c>
      <c r="BA40" s="111">
        <v>3152</v>
      </c>
      <c r="BB40" s="111">
        <f>AZ40*BA40</f>
        <v>1576</v>
      </c>
      <c r="BC40" s="111"/>
      <c r="BD40" s="111"/>
      <c r="BE40" s="111">
        <f>BB40*BD40</f>
        <v>0</v>
      </c>
      <c r="BF40" s="114">
        <v>0.1</v>
      </c>
      <c r="BG40" s="111">
        <f>(BB40+BE40)*BF40</f>
        <v>157.60000000000002</v>
      </c>
      <c r="BH40" s="111">
        <f t="shared" si="69"/>
        <v>315.20000000000005</v>
      </c>
      <c r="BI40" s="115">
        <f>BB40+BC40+BE40+BG40+BH40</f>
        <v>2048.8</v>
      </c>
      <c r="BJ40" s="111">
        <v>11</v>
      </c>
      <c r="BK40" s="111">
        <v>0.5</v>
      </c>
      <c r="BL40" s="111">
        <v>3152</v>
      </c>
      <c r="BM40" s="111">
        <f>BK40*BL40</f>
        <v>1576</v>
      </c>
      <c r="BN40" s="111"/>
      <c r="BO40" s="111"/>
      <c r="BP40" s="111">
        <f>BM40*BO40</f>
        <v>0</v>
      </c>
      <c r="BQ40" s="114">
        <v>0.1</v>
      </c>
      <c r="BR40" s="117">
        <f>(BM40+BP40)*BQ40</f>
        <v>157.60000000000002</v>
      </c>
      <c r="BS40" s="111">
        <f t="shared" si="73"/>
        <v>315.20000000000005</v>
      </c>
      <c r="BT40" s="118">
        <f>BM40+BN40+BP40+BR40+BS40</f>
        <v>2048.8</v>
      </c>
      <c r="BU40" s="111"/>
      <c r="BV40" s="111"/>
      <c r="BW40" s="111"/>
      <c r="BX40" s="111">
        <f>BV40*BW40</f>
        <v>0</v>
      </c>
      <c r="BY40" s="111"/>
      <c r="BZ40" s="111"/>
      <c r="CA40" s="111">
        <f>BX40*BZ40</f>
        <v>0</v>
      </c>
      <c r="CB40" s="111"/>
      <c r="CC40" s="111">
        <f>(BX40+CA40)*CB40</f>
        <v>0</v>
      </c>
      <c r="CD40" s="111">
        <f>(BX40+CA40)*20%</f>
        <v>0</v>
      </c>
      <c r="CE40" s="115">
        <f>BX40+BY40+CA40+CC40+CD40</f>
        <v>0</v>
      </c>
      <c r="CF40" s="111">
        <v>13</v>
      </c>
      <c r="CG40" s="111">
        <v>0.75</v>
      </c>
      <c r="CH40" s="111">
        <v>3632</v>
      </c>
      <c r="CI40" s="111">
        <f t="shared" si="70"/>
        <v>2724</v>
      </c>
      <c r="CJ40" s="111"/>
      <c r="CK40" s="111"/>
      <c r="CL40" s="111">
        <f>CI40*CK40</f>
        <v>0</v>
      </c>
      <c r="CM40" s="114">
        <v>0.3</v>
      </c>
      <c r="CN40" s="111">
        <f>(CI40+CL40)*CM40</f>
        <v>817.1999999999999</v>
      </c>
      <c r="CO40" s="111">
        <f>(CI40+CL40)*20%</f>
        <v>544.8000000000001</v>
      </c>
      <c r="CP40" s="115">
        <f t="shared" si="71"/>
        <v>4086</v>
      </c>
      <c r="CQ40" s="111"/>
      <c r="CR40" s="111"/>
      <c r="CS40" s="111"/>
      <c r="CT40" s="111">
        <f>CR40*CS40</f>
        <v>0</v>
      </c>
      <c r="CU40" s="111"/>
      <c r="CV40" s="111"/>
      <c r="CW40" s="111">
        <f>CT40*CV40</f>
        <v>0</v>
      </c>
      <c r="CX40" s="111"/>
      <c r="CY40" s="111">
        <f>(CT40+CW40)*CX40</f>
        <v>0</v>
      </c>
      <c r="CZ40" s="111">
        <f>(CT40+CW40)*20%</f>
        <v>0</v>
      </c>
      <c r="DA40" s="115">
        <f>CT40+CU40+CW40+CY40+CZ40</f>
        <v>0</v>
      </c>
      <c r="DB40" s="111">
        <f>H40+S40+S41+AD40+AO40+AZ40+BK40+CG40</f>
        <v>6.25</v>
      </c>
      <c r="DC40" s="118">
        <f>Q40+AB40+AB41+AM40+AX40+BI40+BT40+CP40</f>
        <v>32613.74</v>
      </c>
    </row>
    <row r="41" spans="1:107" s="119" customFormat="1" ht="31.5" customHeight="1">
      <c r="A41" s="126"/>
      <c r="B41" s="126"/>
      <c r="C41" s="111"/>
      <c r="D41" s="111"/>
      <c r="E41" s="111"/>
      <c r="F41" s="112"/>
      <c r="G41" s="113"/>
      <c r="H41" s="111"/>
      <c r="I41" s="111"/>
      <c r="J41" s="111"/>
      <c r="K41" s="111"/>
      <c r="L41" s="111"/>
      <c r="M41" s="111"/>
      <c r="N41" s="114"/>
      <c r="O41" s="111">
        <f t="shared" si="63"/>
        <v>0</v>
      </c>
      <c r="P41" s="111">
        <f t="shared" si="64"/>
        <v>0</v>
      </c>
      <c r="Q41" s="115"/>
      <c r="R41" s="111"/>
      <c r="S41" s="111">
        <v>0.75</v>
      </c>
      <c r="T41" s="111">
        <f>J40*95%</f>
        <v>4240.8</v>
      </c>
      <c r="U41" s="117">
        <f t="shared" si="65"/>
        <v>3180.6000000000004</v>
      </c>
      <c r="V41" s="111"/>
      <c r="W41" s="111"/>
      <c r="X41" s="111"/>
      <c r="Y41" s="114">
        <v>0.3</v>
      </c>
      <c r="Z41" s="117">
        <f>(U41+X41)*Y41</f>
        <v>954.1800000000001</v>
      </c>
      <c r="AA41" s="111">
        <f t="shared" si="66"/>
        <v>636.1200000000001</v>
      </c>
      <c r="AB41" s="118">
        <f>U41+V41+X41+Z41+AA41</f>
        <v>4770.900000000001</v>
      </c>
      <c r="AC41" s="111"/>
      <c r="AD41" s="111"/>
      <c r="AE41" s="111"/>
      <c r="AF41" s="111">
        <f t="shared" si="72"/>
        <v>0</v>
      </c>
      <c r="AG41" s="111"/>
      <c r="AH41" s="111"/>
      <c r="AI41" s="111"/>
      <c r="AJ41" s="114"/>
      <c r="AK41" s="111"/>
      <c r="AL41" s="111">
        <f t="shared" si="67"/>
        <v>0</v>
      </c>
      <c r="AM41" s="115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>
        <f t="shared" si="68"/>
        <v>0</v>
      </c>
      <c r="AX41" s="115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>
        <f t="shared" si="69"/>
        <v>0</v>
      </c>
      <c r="BI41" s="115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>
        <f t="shared" si="73"/>
        <v>0</v>
      </c>
      <c r="BT41" s="115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5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5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5"/>
      <c r="DB41" s="111"/>
      <c r="DC41" s="118"/>
    </row>
    <row r="42" spans="1:107" ht="36" customHeight="1">
      <c r="A42" s="162">
        <v>16</v>
      </c>
      <c r="B42" s="8" t="s">
        <v>69</v>
      </c>
      <c r="C42" s="8">
        <v>17</v>
      </c>
      <c r="D42" s="8">
        <v>17</v>
      </c>
      <c r="E42" s="8">
        <v>372</v>
      </c>
      <c r="F42" s="9" t="s">
        <v>155</v>
      </c>
      <c r="G42" s="8">
        <v>16</v>
      </c>
      <c r="H42" s="8">
        <v>1</v>
      </c>
      <c r="I42" s="8"/>
      <c r="J42" s="8">
        <v>4464</v>
      </c>
      <c r="K42" s="8"/>
      <c r="L42" s="8"/>
      <c r="M42" s="8"/>
      <c r="N42" s="65">
        <v>0.3</v>
      </c>
      <c r="O42" s="121">
        <f t="shared" si="63"/>
        <v>1339.2</v>
      </c>
      <c r="P42" s="121">
        <f t="shared" si="64"/>
        <v>892.8000000000001</v>
      </c>
      <c r="Q42" s="67">
        <f>J42+K42+M42+O42+P42</f>
        <v>6696</v>
      </c>
      <c r="R42" s="8"/>
      <c r="S42" s="8">
        <v>1</v>
      </c>
      <c r="T42" s="96">
        <f>J42*95%</f>
        <v>4240.8</v>
      </c>
      <c r="U42" s="8">
        <f t="shared" si="65"/>
        <v>4240.8</v>
      </c>
      <c r="V42" s="8"/>
      <c r="W42" s="8"/>
      <c r="X42" s="8">
        <f>U42*W42</f>
        <v>0</v>
      </c>
      <c r="Y42" s="65">
        <v>0.3</v>
      </c>
      <c r="Z42" s="66">
        <f>(U42+X42)*Y42</f>
        <v>1272.24</v>
      </c>
      <c r="AA42" s="8">
        <f t="shared" si="66"/>
        <v>848.1600000000001</v>
      </c>
      <c r="AB42" s="69">
        <f>U42+V42+X42+Z42+AA42</f>
        <v>6361.2</v>
      </c>
      <c r="AC42" s="8">
        <v>13</v>
      </c>
      <c r="AD42" s="8">
        <v>1</v>
      </c>
      <c r="AE42" s="8">
        <v>3632</v>
      </c>
      <c r="AF42" s="8">
        <f t="shared" si="72"/>
        <v>3632</v>
      </c>
      <c r="AG42" s="8"/>
      <c r="AH42" s="8"/>
      <c r="AI42" s="8"/>
      <c r="AJ42" s="65">
        <v>0.3</v>
      </c>
      <c r="AK42" s="8">
        <f>(AF42+AI42)*AJ42</f>
        <v>1089.6</v>
      </c>
      <c r="AL42" s="8">
        <f t="shared" si="67"/>
        <v>726.4000000000001</v>
      </c>
      <c r="AM42" s="67">
        <f>AF42+AG42+AI42+AK42+AL42</f>
        <v>5448</v>
      </c>
      <c r="AN42" s="8">
        <v>9</v>
      </c>
      <c r="AO42" s="8">
        <v>1</v>
      </c>
      <c r="AP42" s="8">
        <v>2768</v>
      </c>
      <c r="AQ42" s="8">
        <f>AO42*AP42</f>
        <v>2768</v>
      </c>
      <c r="AR42" s="8"/>
      <c r="AS42" s="65"/>
      <c r="AT42" s="8">
        <f>AQ42*AS42</f>
        <v>0</v>
      </c>
      <c r="AU42" s="65">
        <v>0.2</v>
      </c>
      <c r="AV42" s="8">
        <f>(AQ42+AT42)*AU42</f>
        <v>553.6</v>
      </c>
      <c r="AW42" s="8">
        <f t="shared" si="68"/>
        <v>1384</v>
      </c>
      <c r="AX42" s="67">
        <f>AQ42+AR42+AT42+AV42+AW42</f>
        <v>4705.6</v>
      </c>
      <c r="AY42" s="8">
        <v>11</v>
      </c>
      <c r="AZ42" s="8">
        <v>1</v>
      </c>
      <c r="BA42" s="8">
        <v>3152</v>
      </c>
      <c r="BB42" s="8">
        <f>AZ42*BA42</f>
        <v>3152</v>
      </c>
      <c r="BC42" s="8"/>
      <c r="BD42" s="8"/>
      <c r="BE42" s="8">
        <f>BB42*BD42</f>
        <v>0</v>
      </c>
      <c r="BF42" s="65"/>
      <c r="BG42" s="8">
        <f>(BB42+BE42)*BF42</f>
        <v>0</v>
      </c>
      <c r="BH42" s="8">
        <f t="shared" si="69"/>
        <v>630.4000000000001</v>
      </c>
      <c r="BI42" s="67">
        <f>BB42+BC42+BE42+BG42+BH42</f>
        <v>3782.4</v>
      </c>
      <c r="BJ42" s="8">
        <v>12</v>
      </c>
      <c r="BK42" s="8">
        <v>1</v>
      </c>
      <c r="BL42" s="8">
        <v>3392</v>
      </c>
      <c r="BM42" s="8">
        <f>BK42*BL42</f>
        <v>3392</v>
      </c>
      <c r="BN42" s="8"/>
      <c r="BO42" s="8"/>
      <c r="BP42" s="8">
        <f>BM42*BO42</f>
        <v>0</v>
      </c>
      <c r="BQ42" s="65">
        <v>0.1</v>
      </c>
      <c r="BR42" s="8">
        <f>(BM42+BP42)*BQ42</f>
        <v>339.20000000000005</v>
      </c>
      <c r="BS42" s="8">
        <f t="shared" si="73"/>
        <v>678.4000000000001</v>
      </c>
      <c r="BT42" s="67">
        <f>BM42+BN42+BP42+BR42+BS42</f>
        <v>4409.6</v>
      </c>
      <c r="BU42" s="8"/>
      <c r="BV42" s="8"/>
      <c r="BW42" s="8"/>
      <c r="BX42" s="8">
        <f>BV42*BW42</f>
        <v>0</v>
      </c>
      <c r="BY42" s="8"/>
      <c r="BZ42" s="8"/>
      <c r="CA42" s="8">
        <f>BX42*BZ42</f>
        <v>0</v>
      </c>
      <c r="CB42" s="8"/>
      <c r="CC42" s="8">
        <f>(BX42+CA42)*CB42</f>
        <v>0</v>
      </c>
      <c r="CD42" s="8">
        <f>(BX42+CA42)*20%</f>
        <v>0</v>
      </c>
      <c r="CE42" s="67">
        <f>BX42+BY42+CA42+CC42+CD42</f>
        <v>0</v>
      </c>
      <c r="CF42" s="80">
        <v>11</v>
      </c>
      <c r="CG42" s="8">
        <v>0.25</v>
      </c>
      <c r="CH42" s="8">
        <v>3152</v>
      </c>
      <c r="CI42" s="8">
        <f t="shared" si="70"/>
        <v>788</v>
      </c>
      <c r="CJ42" s="8"/>
      <c r="CK42" s="8"/>
      <c r="CL42" s="8">
        <f>CI42*CK42</f>
        <v>0</v>
      </c>
      <c r="CM42" s="65">
        <v>0.3</v>
      </c>
      <c r="CN42" s="8">
        <f aca="true" t="shared" si="74" ref="CN42:CN49">(CI42+CL42)*CM42</f>
        <v>236.39999999999998</v>
      </c>
      <c r="CO42" s="8">
        <f aca="true" t="shared" si="75" ref="CO42:CO47">(CI42+CL42)*20%</f>
        <v>157.60000000000002</v>
      </c>
      <c r="CP42" s="67">
        <f t="shared" si="71"/>
        <v>1182</v>
      </c>
      <c r="CQ42" s="8"/>
      <c r="CR42" s="8"/>
      <c r="CS42" s="8"/>
      <c r="CT42" s="8">
        <f>CR42*CS42</f>
        <v>0</v>
      </c>
      <c r="CU42" s="8"/>
      <c r="CV42" s="8"/>
      <c r="CW42" s="8">
        <f>CT42*CV42</f>
        <v>0</v>
      </c>
      <c r="CX42" s="8"/>
      <c r="CY42" s="8">
        <f>(CT42+CW42)*CX42</f>
        <v>0</v>
      </c>
      <c r="CZ42" s="8">
        <f>(CT42+CW42)*20%</f>
        <v>0</v>
      </c>
      <c r="DA42" s="67">
        <f>CT42+CU42+CW42+CY42+CZ42</f>
        <v>0</v>
      </c>
      <c r="DB42" s="8">
        <f>H42+S42+S46+AD42+AO42+AZ42+BK42+CG42+CG46+CG47+CG48+CG45+CG43+CG44</f>
        <v>12</v>
      </c>
      <c r="DC42" s="69">
        <f>Q42+AB42+AB46+AM42+AX42+BI42+BT42+CP42+CP46+CP47+CP48+CP45+CP43+CP44</f>
        <v>59136.600000000006</v>
      </c>
    </row>
    <row r="43" spans="1:107" ht="36" customHeight="1">
      <c r="A43" s="163"/>
      <c r="B43" s="8"/>
      <c r="C43" s="8"/>
      <c r="D43" s="8"/>
      <c r="E43" s="8"/>
      <c r="F43" s="9"/>
      <c r="G43" s="8"/>
      <c r="H43" s="8"/>
      <c r="I43" s="8"/>
      <c r="J43" s="8"/>
      <c r="K43" s="8"/>
      <c r="L43" s="8"/>
      <c r="M43" s="8"/>
      <c r="N43" s="65"/>
      <c r="O43" s="121"/>
      <c r="P43" s="121"/>
      <c r="Q43" s="67"/>
      <c r="R43" s="8"/>
      <c r="S43" s="8"/>
      <c r="T43" s="96"/>
      <c r="U43" s="8"/>
      <c r="V43" s="8"/>
      <c r="W43" s="8"/>
      <c r="X43" s="8"/>
      <c r="Y43" s="65"/>
      <c r="Z43" s="66"/>
      <c r="AA43" s="8"/>
      <c r="AB43" s="69"/>
      <c r="AC43" s="8"/>
      <c r="AD43" s="8"/>
      <c r="AE43" s="8"/>
      <c r="AF43" s="8"/>
      <c r="AG43" s="8"/>
      <c r="AH43" s="8"/>
      <c r="AI43" s="8"/>
      <c r="AJ43" s="65"/>
      <c r="AK43" s="8"/>
      <c r="AL43" s="8"/>
      <c r="AM43" s="67"/>
      <c r="AN43" s="8"/>
      <c r="AO43" s="8"/>
      <c r="AP43" s="8"/>
      <c r="AQ43" s="8"/>
      <c r="AR43" s="8"/>
      <c r="AS43" s="65"/>
      <c r="AT43" s="8"/>
      <c r="AU43" s="65"/>
      <c r="AV43" s="8"/>
      <c r="AW43" s="8"/>
      <c r="AX43" s="67"/>
      <c r="AY43" s="8"/>
      <c r="AZ43" s="8"/>
      <c r="BA43" s="8"/>
      <c r="BB43" s="8"/>
      <c r="BC43" s="8"/>
      <c r="BD43" s="8"/>
      <c r="BE43" s="8"/>
      <c r="BF43" s="65"/>
      <c r="BG43" s="8"/>
      <c r="BH43" s="8"/>
      <c r="BI43" s="67"/>
      <c r="BJ43" s="8"/>
      <c r="BK43" s="8"/>
      <c r="BL43" s="8"/>
      <c r="BM43" s="8"/>
      <c r="BN43" s="8"/>
      <c r="BO43" s="8"/>
      <c r="BP43" s="8"/>
      <c r="BQ43" s="65"/>
      <c r="BR43" s="8"/>
      <c r="BS43" s="8"/>
      <c r="BT43" s="67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67"/>
      <c r="CF43" s="8">
        <v>11</v>
      </c>
      <c r="CG43" s="8">
        <v>2</v>
      </c>
      <c r="CH43" s="8">
        <v>3152</v>
      </c>
      <c r="CI43" s="8">
        <f t="shared" si="70"/>
        <v>6304</v>
      </c>
      <c r="CJ43" s="8"/>
      <c r="CK43" s="8"/>
      <c r="CL43" s="8"/>
      <c r="CM43" s="65">
        <v>0.3</v>
      </c>
      <c r="CN43" s="8">
        <f t="shared" si="74"/>
        <v>1891.1999999999998</v>
      </c>
      <c r="CO43" s="8">
        <f t="shared" si="75"/>
        <v>1260.8000000000002</v>
      </c>
      <c r="CP43" s="67">
        <f t="shared" si="71"/>
        <v>9456</v>
      </c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67"/>
      <c r="DB43" s="8"/>
      <c r="DC43" s="69"/>
    </row>
    <row r="44" spans="1:107" ht="36" customHeight="1">
      <c r="A44" s="163"/>
      <c r="B44" s="8"/>
      <c r="C44" s="8"/>
      <c r="D44" s="8"/>
      <c r="E44" s="8"/>
      <c r="F44" s="9"/>
      <c r="G44" s="8"/>
      <c r="H44" s="8"/>
      <c r="I44" s="8"/>
      <c r="J44" s="8"/>
      <c r="K44" s="8"/>
      <c r="L44" s="8"/>
      <c r="M44" s="8"/>
      <c r="N44" s="65"/>
      <c r="O44" s="121"/>
      <c r="P44" s="121"/>
      <c r="Q44" s="67"/>
      <c r="R44" s="8"/>
      <c r="S44" s="8"/>
      <c r="T44" s="96"/>
      <c r="U44" s="8"/>
      <c r="V44" s="8"/>
      <c r="W44" s="8"/>
      <c r="X44" s="8"/>
      <c r="Y44" s="65"/>
      <c r="Z44" s="66"/>
      <c r="AA44" s="8"/>
      <c r="AB44" s="69"/>
      <c r="AC44" s="8"/>
      <c r="AD44" s="8"/>
      <c r="AE44" s="8"/>
      <c r="AF44" s="8"/>
      <c r="AG44" s="8"/>
      <c r="AH44" s="8"/>
      <c r="AI44" s="8"/>
      <c r="AJ44" s="65"/>
      <c r="AK44" s="8"/>
      <c r="AL44" s="8"/>
      <c r="AM44" s="67"/>
      <c r="AN44" s="8"/>
      <c r="AO44" s="8"/>
      <c r="AP44" s="8"/>
      <c r="AQ44" s="8"/>
      <c r="AR44" s="8"/>
      <c r="AS44" s="65"/>
      <c r="AT44" s="8"/>
      <c r="AU44" s="65"/>
      <c r="AV44" s="8"/>
      <c r="AW44" s="8"/>
      <c r="AX44" s="67"/>
      <c r="AY44" s="8"/>
      <c r="AZ44" s="8"/>
      <c r="BA44" s="8"/>
      <c r="BB44" s="8"/>
      <c r="BC44" s="8"/>
      <c r="BD44" s="8"/>
      <c r="BE44" s="8"/>
      <c r="BF44" s="65"/>
      <c r="BG44" s="8"/>
      <c r="BH44" s="8"/>
      <c r="BI44" s="67"/>
      <c r="BJ44" s="8"/>
      <c r="BK44" s="8"/>
      <c r="BL44" s="8"/>
      <c r="BM44" s="8"/>
      <c r="BN44" s="8"/>
      <c r="BO44" s="8"/>
      <c r="BP44" s="8"/>
      <c r="BQ44" s="65"/>
      <c r="BR44" s="8"/>
      <c r="BS44" s="8"/>
      <c r="BT44" s="67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67"/>
      <c r="CF44" s="8">
        <v>10</v>
      </c>
      <c r="CG44" s="8">
        <v>1</v>
      </c>
      <c r="CH44" s="8">
        <v>2912</v>
      </c>
      <c r="CI44" s="8">
        <f t="shared" si="70"/>
        <v>2912</v>
      </c>
      <c r="CJ44" s="8"/>
      <c r="CK44" s="8"/>
      <c r="CL44" s="8"/>
      <c r="CM44" s="65">
        <v>0.2</v>
      </c>
      <c r="CN44" s="8">
        <f t="shared" si="74"/>
        <v>582.4</v>
      </c>
      <c r="CO44" s="8">
        <f t="shared" si="75"/>
        <v>582.4</v>
      </c>
      <c r="CP44" s="67">
        <f t="shared" si="71"/>
        <v>4076.8</v>
      </c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67"/>
      <c r="DB44" s="8"/>
      <c r="DC44" s="69"/>
    </row>
    <row r="45" spans="1:107" ht="36" customHeight="1">
      <c r="A45" s="163"/>
      <c r="B45" s="8"/>
      <c r="C45" s="8"/>
      <c r="D45" s="8"/>
      <c r="E45" s="8"/>
      <c r="F45" s="9"/>
      <c r="G45" s="8"/>
      <c r="H45" s="8"/>
      <c r="I45" s="8"/>
      <c r="J45" s="8"/>
      <c r="K45" s="8"/>
      <c r="L45" s="8"/>
      <c r="M45" s="8"/>
      <c r="N45" s="65"/>
      <c r="O45" s="121">
        <f t="shared" si="63"/>
        <v>0</v>
      </c>
      <c r="P45" s="121">
        <f t="shared" si="64"/>
        <v>0</v>
      </c>
      <c r="Q45" s="67"/>
      <c r="R45" s="8"/>
      <c r="S45" s="8"/>
      <c r="T45" s="96"/>
      <c r="U45" s="8"/>
      <c r="V45" s="8"/>
      <c r="W45" s="8"/>
      <c r="X45" s="8"/>
      <c r="Y45" s="65"/>
      <c r="Z45" s="8"/>
      <c r="AA45" s="8">
        <f t="shared" si="66"/>
        <v>0</v>
      </c>
      <c r="AB45" s="67"/>
      <c r="AC45" s="8"/>
      <c r="AD45" s="8"/>
      <c r="AE45" s="8"/>
      <c r="AF45" s="8">
        <f t="shared" si="72"/>
        <v>0</v>
      </c>
      <c r="AG45" s="8"/>
      <c r="AH45" s="8"/>
      <c r="AI45" s="8"/>
      <c r="AJ45" s="65"/>
      <c r="AK45" s="8"/>
      <c r="AL45" s="8">
        <f t="shared" si="67"/>
        <v>0</v>
      </c>
      <c r="AM45" s="67"/>
      <c r="AN45" s="8"/>
      <c r="AO45" s="8"/>
      <c r="AP45" s="8"/>
      <c r="AQ45" s="8"/>
      <c r="AR45" s="8"/>
      <c r="AS45" s="65"/>
      <c r="AT45" s="8"/>
      <c r="AU45" s="65"/>
      <c r="AV45" s="8"/>
      <c r="AW45" s="8">
        <f t="shared" si="68"/>
        <v>0</v>
      </c>
      <c r="AX45" s="67"/>
      <c r="AY45" s="8"/>
      <c r="AZ45" s="8"/>
      <c r="BA45" s="8"/>
      <c r="BB45" s="8"/>
      <c r="BC45" s="8"/>
      <c r="BD45" s="8"/>
      <c r="BE45" s="8"/>
      <c r="BF45" s="65"/>
      <c r="BG45" s="8"/>
      <c r="BH45" s="8">
        <f t="shared" si="69"/>
        <v>0</v>
      </c>
      <c r="BI45" s="67"/>
      <c r="BJ45" s="8"/>
      <c r="BK45" s="8"/>
      <c r="BL45" s="8"/>
      <c r="BM45" s="8"/>
      <c r="BN45" s="8"/>
      <c r="BO45" s="8"/>
      <c r="BP45" s="8"/>
      <c r="BQ45" s="65"/>
      <c r="BR45" s="8"/>
      <c r="BS45" s="8">
        <f t="shared" si="73"/>
        <v>0</v>
      </c>
      <c r="BT45" s="67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67"/>
      <c r="CF45" s="8">
        <v>11</v>
      </c>
      <c r="CG45" s="8">
        <v>1</v>
      </c>
      <c r="CH45" s="8">
        <v>3152</v>
      </c>
      <c r="CI45" s="8">
        <f t="shared" si="70"/>
        <v>3152</v>
      </c>
      <c r="CJ45" s="8"/>
      <c r="CK45" s="8"/>
      <c r="CL45" s="8"/>
      <c r="CM45" s="65">
        <v>0.1</v>
      </c>
      <c r="CN45" s="8">
        <f t="shared" si="74"/>
        <v>315.20000000000005</v>
      </c>
      <c r="CO45" s="8">
        <f t="shared" si="75"/>
        <v>630.4000000000001</v>
      </c>
      <c r="CP45" s="67">
        <f>CI45+CJ45+CL45+CN45+CO45</f>
        <v>4097.6</v>
      </c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67"/>
      <c r="DB45" s="8"/>
      <c r="DC45" s="69"/>
    </row>
    <row r="46" spans="1:107" ht="36" customHeight="1">
      <c r="A46" s="163"/>
      <c r="B46" s="8"/>
      <c r="C46" s="8"/>
      <c r="D46" s="8"/>
      <c r="E46" s="8"/>
      <c r="F46" s="9"/>
      <c r="G46" s="8"/>
      <c r="H46" s="8"/>
      <c r="I46" s="8"/>
      <c r="J46" s="8"/>
      <c r="K46" s="8"/>
      <c r="L46" s="8"/>
      <c r="M46" s="8"/>
      <c r="N46" s="65"/>
      <c r="O46" s="121">
        <f t="shared" si="63"/>
        <v>0</v>
      </c>
      <c r="P46" s="121">
        <f t="shared" si="64"/>
        <v>0</v>
      </c>
      <c r="Q46" s="67"/>
      <c r="R46" s="8"/>
      <c r="S46" s="8">
        <v>0.5</v>
      </c>
      <c r="T46" s="96">
        <f>J42*95%</f>
        <v>4240.8</v>
      </c>
      <c r="U46" s="80">
        <f t="shared" si="65"/>
        <v>2120.4</v>
      </c>
      <c r="V46" s="8"/>
      <c r="W46" s="8"/>
      <c r="X46" s="8"/>
      <c r="Y46" s="65">
        <v>0.3</v>
      </c>
      <c r="Z46" s="66">
        <f>(U46+X46)*Y46</f>
        <v>636.12</v>
      </c>
      <c r="AA46" s="66">
        <f t="shared" si="66"/>
        <v>424.08000000000004</v>
      </c>
      <c r="AB46" s="69">
        <f>U46+V46+X46+Z46+AA46</f>
        <v>3180.6</v>
      </c>
      <c r="AC46" s="8"/>
      <c r="AD46" s="8"/>
      <c r="AE46" s="8"/>
      <c r="AF46" s="8">
        <f t="shared" si="72"/>
        <v>0</v>
      </c>
      <c r="AG46" s="8"/>
      <c r="AH46" s="8"/>
      <c r="AI46" s="8"/>
      <c r="AJ46" s="8"/>
      <c r="AK46" s="8"/>
      <c r="AL46" s="8">
        <f t="shared" si="67"/>
        <v>0</v>
      </c>
      <c r="AM46" s="67"/>
      <c r="AN46" s="8"/>
      <c r="AO46" s="8"/>
      <c r="AP46" s="8"/>
      <c r="AQ46" s="8"/>
      <c r="AR46" s="8"/>
      <c r="AS46" s="8"/>
      <c r="AT46" s="8"/>
      <c r="AU46" s="8"/>
      <c r="AV46" s="8"/>
      <c r="AW46" s="8">
        <f t="shared" si="68"/>
        <v>0</v>
      </c>
      <c r="AX46" s="67"/>
      <c r="AY46" s="8"/>
      <c r="AZ46" s="8"/>
      <c r="BA46" s="8"/>
      <c r="BB46" s="8"/>
      <c r="BC46" s="8"/>
      <c r="BD46" s="8"/>
      <c r="BE46" s="8"/>
      <c r="BF46" s="8"/>
      <c r="BG46" s="8"/>
      <c r="BH46" s="8">
        <f t="shared" si="69"/>
        <v>0</v>
      </c>
      <c r="BI46" s="67"/>
      <c r="BJ46" s="8"/>
      <c r="BK46" s="8"/>
      <c r="BL46" s="8"/>
      <c r="BM46" s="8"/>
      <c r="BN46" s="8"/>
      <c r="BO46" s="8"/>
      <c r="BP46" s="8"/>
      <c r="BQ46" s="8"/>
      <c r="BR46" s="8"/>
      <c r="BS46" s="8">
        <f t="shared" si="73"/>
        <v>0</v>
      </c>
      <c r="BT46" s="67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67"/>
      <c r="CF46" s="8">
        <v>14</v>
      </c>
      <c r="CG46" s="79">
        <v>0.5</v>
      </c>
      <c r="CH46" s="8">
        <v>3872</v>
      </c>
      <c r="CI46" s="8">
        <f t="shared" si="70"/>
        <v>1936</v>
      </c>
      <c r="CJ46" s="8"/>
      <c r="CK46" s="8"/>
      <c r="CL46" s="8"/>
      <c r="CM46" s="65">
        <v>0.3</v>
      </c>
      <c r="CN46" s="8">
        <f t="shared" si="74"/>
        <v>580.8</v>
      </c>
      <c r="CO46" s="8">
        <f t="shared" si="75"/>
        <v>387.20000000000005</v>
      </c>
      <c r="CP46" s="67">
        <f>CI46+CJ46+CL46+CN46+CO46</f>
        <v>2904</v>
      </c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67"/>
      <c r="DB46" s="8"/>
      <c r="DC46" s="69"/>
    </row>
    <row r="47" spans="1:107" ht="36" customHeight="1">
      <c r="A47" s="95"/>
      <c r="B47" s="8"/>
      <c r="C47" s="8"/>
      <c r="D47" s="8"/>
      <c r="E47" s="8"/>
      <c r="F47" s="9"/>
      <c r="G47" s="8"/>
      <c r="H47" s="8"/>
      <c r="I47" s="8"/>
      <c r="J47" s="8"/>
      <c r="K47" s="8"/>
      <c r="L47" s="8"/>
      <c r="M47" s="8"/>
      <c r="N47" s="65"/>
      <c r="O47" s="121">
        <f t="shared" si="63"/>
        <v>0</v>
      </c>
      <c r="P47" s="121">
        <f t="shared" si="64"/>
        <v>0</v>
      </c>
      <c r="Q47" s="67"/>
      <c r="R47" s="8"/>
      <c r="S47" s="8"/>
      <c r="T47" s="96"/>
      <c r="U47" s="80"/>
      <c r="V47" s="8"/>
      <c r="W47" s="8"/>
      <c r="X47" s="8"/>
      <c r="Y47" s="65"/>
      <c r="Z47" s="66"/>
      <c r="AA47" s="8">
        <f t="shared" si="66"/>
        <v>0</v>
      </c>
      <c r="AB47" s="69"/>
      <c r="AC47" s="8"/>
      <c r="AD47" s="8"/>
      <c r="AE47" s="8"/>
      <c r="AF47" s="8">
        <f t="shared" si="72"/>
        <v>0</v>
      </c>
      <c r="AG47" s="8"/>
      <c r="AH47" s="8"/>
      <c r="AI47" s="8"/>
      <c r="AJ47" s="8"/>
      <c r="AK47" s="8"/>
      <c r="AL47" s="8">
        <f t="shared" si="67"/>
        <v>0</v>
      </c>
      <c r="AM47" s="67"/>
      <c r="AN47" s="8"/>
      <c r="AO47" s="8"/>
      <c r="AP47" s="8"/>
      <c r="AQ47" s="8"/>
      <c r="AR47" s="8"/>
      <c r="AS47" s="8"/>
      <c r="AT47" s="8"/>
      <c r="AU47" s="8"/>
      <c r="AV47" s="8"/>
      <c r="AW47" s="8">
        <f t="shared" si="68"/>
        <v>0</v>
      </c>
      <c r="AX47" s="67"/>
      <c r="AY47" s="8"/>
      <c r="AZ47" s="8"/>
      <c r="BA47" s="8"/>
      <c r="BB47" s="8"/>
      <c r="BC47" s="8"/>
      <c r="BD47" s="8"/>
      <c r="BE47" s="8"/>
      <c r="BF47" s="8"/>
      <c r="BG47" s="8"/>
      <c r="BH47" s="8">
        <f t="shared" si="69"/>
        <v>0</v>
      </c>
      <c r="BI47" s="67"/>
      <c r="BJ47" s="8"/>
      <c r="BK47" s="8"/>
      <c r="BL47" s="8"/>
      <c r="BM47" s="8"/>
      <c r="BN47" s="8"/>
      <c r="BO47" s="8"/>
      <c r="BP47" s="8"/>
      <c r="BQ47" s="8"/>
      <c r="BR47" s="8"/>
      <c r="BS47" s="8">
        <f t="shared" si="73"/>
        <v>0</v>
      </c>
      <c r="BT47" s="67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67"/>
      <c r="CF47" s="8">
        <v>11</v>
      </c>
      <c r="CG47" s="79">
        <v>0.75</v>
      </c>
      <c r="CH47" s="8">
        <v>3152</v>
      </c>
      <c r="CI47" s="8">
        <f t="shared" si="70"/>
        <v>2364</v>
      </c>
      <c r="CJ47" s="8"/>
      <c r="CK47" s="8"/>
      <c r="CL47" s="8"/>
      <c r="CM47" s="65"/>
      <c r="CN47" s="8">
        <f t="shared" si="74"/>
        <v>0</v>
      </c>
      <c r="CO47" s="8">
        <f t="shared" si="75"/>
        <v>472.8</v>
      </c>
      <c r="CP47" s="67">
        <f>CI47+CJ47+CL47+CN47+CO47</f>
        <v>2836.8</v>
      </c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67"/>
      <c r="DB47" s="8"/>
      <c r="DC47" s="69"/>
    </row>
    <row r="48" spans="1:107" ht="36" customHeight="1">
      <c r="A48" s="95"/>
      <c r="B48" s="8"/>
      <c r="C48" s="8"/>
      <c r="D48" s="8"/>
      <c r="E48" s="8"/>
      <c r="F48" s="9"/>
      <c r="G48" s="8"/>
      <c r="H48" s="8"/>
      <c r="I48" s="8"/>
      <c r="J48" s="8"/>
      <c r="K48" s="8"/>
      <c r="L48" s="8"/>
      <c r="M48" s="8"/>
      <c r="N48" s="65"/>
      <c r="O48" s="121">
        <f t="shared" si="63"/>
        <v>0</v>
      </c>
      <c r="P48" s="121">
        <f t="shared" si="64"/>
        <v>0</v>
      </c>
      <c r="Q48" s="67"/>
      <c r="R48" s="8"/>
      <c r="S48" s="8"/>
      <c r="T48" s="96"/>
      <c r="U48" s="80"/>
      <c r="V48" s="8"/>
      <c r="W48" s="8"/>
      <c r="X48" s="8"/>
      <c r="Y48" s="65"/>
      <c r="Z48" s="66"/>
      <c r="AA48" s="8">
        <f t="shared" si="66"/>
        <v>0</v>
      </c>
      <c r="AB48" s="69"/>
      <c r="AC48" s="8"/>
      <c r="AD48" s="8"/>
      <c r="AE48" s="8"/>
      <c r="AF48" s="8">
        <f t="shared" si="72"/>
        <v>0</v>
      </c>
      <c r="AG48" s="8"/>
      <c r="AH48" s="8"/>
      <c r="AI48" s="8"/>
      <c r="AJ48" s="8"/>
      <c r="AK48" s="8"/>
      <c r="AL48" s="8">
        <f t="shared" si="67"/>
        <v>0</v>
      </c>
      <c r="AM48" s="67"/>
      <c r="AN48" s="8"/>
      <c r="AO48" s="8"/>
      <c r="AP48" s="8"/>
      <c r="AQ48" s="8"/>
      <c r="AR48" s="8"/>
      <c r="AS48" s="8"/>
      <c r="AT48" s="8"/>
      <c r="AU48" s="8"/>
      <c r="AV48" s="8"/>
      <c r="AW48" s="8">
        <f t="shared" si="68"/>
        <v>0</v>
      </c>
      <c r="AX48" s="67"/>
      <c r="AY48" s="8"/>
      <c r="AZ48" s="8"/>
      <c r="BA48" s="8"/>
      <c r="BB48" s="8"/>
      <c r="BC48" s="8"/>
      <c r="BD48" s="8"/>
      <c r="BE48" s="8"/>
      <c r="BF48" s="8"/>
      <c r="BG48" s="8"/>
      <c r="BH48" s="8">
        <f t="shared" si="69"/>
        <v>0</v>
      </c>
      <c r="BI48" s="67"/>
      <c r="BJ48" s="8"/>
      <c r="BK48" s="8"/>
      <c r="BL48" s="8"/>
      <c r="BM48" s="8"/>
      <c r="BN48" s="8"/>
      <c r="BO48" s="8"/>
      <c r="BP48" s="8"/>
      <c r="BQ48" s="8"/>
      <c r="BR48" s="8"/>
      <c r="BS48" s="8">
        <f t="shared" si="73"/>
        <v>0</v>
      </c>
      <c r="BT48" s="67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67"/>
      <c r="CF48" s="8"/>
      <c r="CG48" s="79"/>
      <c r="CH48" s="8"/>
      <c r="CI48" s="8">
        <f t="shared" si="70"/>
        <v>0</v>
      </c>
      <c r="CJ48" s="8"/>
      <c r="CK48" s="8"/>
      <c r="CL48" s="8"/>
      <c r="CM48" s="65"/>
      <c r="CN48" s="66">
        <f t="shared" si="74"/>
        <v>0</v>
      </c>
      <c r="CO48" s="8">
        <f>(CI48+CL48)*10%</f>
        <v>0</v>
      </c>
      <c r="CP48" s="69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67"/>
      <c r="DB48" s="8"/>
      <c r="DC48" s="69"/>
    </row>
    <row r="49" spans="1:107" s="119" customFormat="1" ht="26.25">
      <c r="A49" s="160">
        <v>17</v>
      </c>
      <c r="B49" s="111" t="s">
        <v>36</v>
      </c>
      <c r="C49" s="111">
        <v>7</v>
      </c>
      <c r="D49" s="111">
        <v>7</v>
      </c>
      <c r="E49" s="111">
        <v>56</v>
      </c>
      <c r="F49" s="123"/>
      <c r="G49" s="113">
        <v>16</v>
      </c>
      <c r="H49" s="111">
        <v>1</v>
      </c>
      <c r="I49" s="111"/>
      <c r="J49" s="111">
        <v>4464</v>
      </c>
      <c r="K49" s="111"/>
      <c r="L49" s="111"/>
      <c r="M49" s="111"/>
      <c r="N49" s="114">
        <v>0.3</v>
      </c>
      <c r="O49" s="111">
        <f t="shared" si="63"/>
        <v>1339.2</v>
      </c>
      <c r="P49" s="111">
        <f t="shared" si="64"/>
        <v>892.8000000000001</v>
      </c>
      <c r="Q49" s="115">
        <f>J49+K49+M49+O49+P49</f>
        <v>6696</v>
      </c>
      <c r="R49" s="111"/>
      <c r="S49" s="111">
        <v>1</v>
      </c>
      <c r="T49" s="111">
        <f>J49*95%</f>
        <v>4240.8</v>
      </c>
      <c r="U49" s="117">
        <f t="shared" si="65"/>
        <v>4240.8</v>
      </c>
      <c r="V49" s="111"/>
      <c r="W49" s="111"/>
      <c r="X49" s="111">
        <f>U49*W49</f>
        <v>0</v>
      </c>
      <c r="Y49" s="114">
        <v>0.3</v>
      </c>
      <c r="Z49" s="117">
        <f aca="true" t="shared" si="76" ref="Z49:Z58">(U49+X49)*Y49</f>
        <v>1272.24</v>
      </c>
      <c r="AA49" s="111">
        <f t="shared" si="66"/>
        <v>848.1600000000001</v>
      </c>
      <c r="AB49" s="118">
        <f aca="true" t="shared" si="77" ref="AB49:AB54">U49+V49+X49+Z49+AA49</f>
        <v>6361.2</v>
      </c>
      <c r="AC49" s="111">
        <v>9</v>
      </c>
      <c r="AD49" s="111">
        <v>1</v>
      </c>
      <c r="AE49" s="111">
        <v>2768</v>
      </c>
      <c r="AF49" s="111">
        <f t="shared" si="72"/>
        <v>2768</v>
      </c>
      <c r="AG49" s="111"/>
      <c r="AH49" s="111"/>
      <c r="AI49" s="111"/>
      <c r="AJ49" s="114">
        <v>0.2</v>
      </c>
      <c r="AK49" s="111">
        <f>(AF49+AI49)*AJ49</f>
        <v>553.6</v>
      </c>
      <c r="AL49" s="111">
        <f t="shared" si="67"/>
        <v>553.6</v>
      </c>
      <c r="AM49" s="115">
        <f>AF49+AG49+AI49+AK49+AL49</f>
        <v>3875.2</v>
      </c>
      <c r="AN49" s="111">
        <v>10</v>
      </c>
      <c r="AO49" s="111">
        <v>0.5</v>
      </c>
      <c r="AP49" s="111">
        <v>2912</v>
      </c>
      <c r="AQ49" s="111">
        <f>AO49*AP49</f>
        <v>1456</v>
      </c>
      <c r="AR49" s="111"/>
      <c r="AS49" s="111"/>
      <c r="AT49" s="111">
        <f>AQ49*AS49</f>
        <v>0</v>
      </c>
      <c r="AU49" s="114">
        <v>0.1</v>
      </c>
      <c r="AV49" s="111">
        <f>(AQ49+AT49)*AU49</f>
        <v>145.6</v>
      </c>
      <c r="AW49" s="111">
        <f t="shared" si="68"/>
        <v>728</v>
      </c>
      <c r="AX49" s="115">
        <f>AQ49+AR49+AT49+AV49+AW49</f>
        <v>2329.6</v>
      </c>
      <c r="AY49" s="111">
        <v>11</v>
      </c>
      <c r="AZ49" s="116">
        <v>0.25</v>
      </c>
      <c r="BA49" s="111">
        <v>3152</v>
      </c>
      <c r="BB49" s="111">
        <f>AZ49*BA49</f>
        <v>788</v>
      </c>
      <c r="BC49" s="111"/>
      <c r="BD49" s="111"/>
      <c r="BE49" s="111">
        <f>BB49*BD49</f>
        <v>0</v>
      </c>
      <c r="BF49" s="114">
        <v>0.1</v>
      </c>
      <c r="BG49" s="117">
        <f>(BB49+BE49)*BF49</f>
        <v>78.80000000000001</v>
      </c>
      <c r="BH49" s="111">
        <f t="shared" si="69"/>
        <v>157.60000000000002</v>
      </c>
      <c r="BI49" s="118">
        <f>BB49+BC49+BE49+BG49+BH49</f>
        <v>1024.4</v>
      </c>
      <c r="BJ49" s="111">
        <v>11</v>
      </c>
      <c r="BK49" s="116">
        <v>0.25</v>
      </c>
      <c r="BL49" s="111">
        <v>3152</v>
      </c>
      <c r="BM49" s="111">
        <f>BK49*BL49</f>
        <v>788</v>
      </c>
      <c r="BN49" s="111"/>
      <c r="BO49" s="111"/>
      <c r="BP49" s="111">
        <f>BM49*BO49</f>
        <v>0</v>
      </c>
      <c r="BQ49" s="114">
        <v>0.1</v>
      </c>
      <c r="BR49" s="117">
        <f>(BM49+BP49)*BQ49</f>
        <v>78.80000000000001</v>
      </c>
      <c r="BS49" s="111">
        <f t="shared" si="73"/>
        <v>157.60000000000002</v>
      </c>
      <c r="BT49" s="118">
        <f>BM49+BN49+BP49+BR49+BS49</f>
        <v>1024.4</v>
      </c>
      <c r="BU49" s="111">
        <v>11</v>
      </c>
      <c r="BV49" s="111">
        <v>0.25</v>
      </c>
      <c r="BW49" s="111">
        <v>3152</v>
      </c>
      <c r="BX49" s="111">
        <f>BV49*BW49</f>
        <v>788</v>
      </c>
      <c r="BY49" s="111"/>
      <c r="BZ49" s="111"/>
      <c r="CA49" s="111">
        <f>BX49*BZ49</f>
        <v>0</v>
      </c>
      <c r="CB49" s="114">
        <v>0.3</v>
      </c>
      <c r="CC49" s="117">
        <f>(BX49+CA49)*CB49</f>
        <v>236.39999999999998</v>
      </c>
      <c r="CD49" s="117">
        <f>(BX49+CA49)*20%</f>
        <v>157.60000000000002</v>
      </c>
      <c r="CE49" s="118">
        <f>BX49+BY49+CA49+CC49+CD49</f>
        <v>1182</v>
      </c>
      <c r="CF49" s="111">
        <v>11</v>
      </c>
      <c r="CG49" s="111">
        <v>0.25</v>
      </c>
      <c r="CH49" s="111">
        <v>3152</v>
      </c>
      <c r="CI49" s="111">
        <f t="shared" si="70"/>
        <v>788</v>
      </c>
      <c r="CJ49" s="111"/>
      <c r="CK49" s="111"/>
      <c r="CL49" s="111">
        <f>CI49*CK49</f>
        <v>0</v>
      </c>
      <c r="CM49" s="114">
        <v>0.3</v>
      </c>
      <c r="CN49" s="111">
        <f t="shared" si="74"/>
        <v>236.39999999999998</v>
      </c>
      <c r="CO49" s="111">
        <f>(CI49+CL49)*20%</f>
        <v>157.60000000000002</v>
      </c>
      <c r="CP49" s="115">
        <f t="shared" si="71"/>
        <v>1182</v>
      </c>
      <c r="CQ49" s="111">
        <v>11</v>
      </c>
      <c r="CR49" s="111">
        <v>0.25</v>
      </c>
      <c r="CS49" s="113">
        <v>3152</v>
      </c>
      <c r="CT49" s="111">
        <f>CR49*CS49</f>
        <v>788</v>
      </c>
      <c r="CU49" s="111"/>
      <c r="CV49" s="111"/>
      <c r="CW49" s="111">
        <f>CT49*CV49</f>
        <v>0</v>
      </c>
      <c r="CX49" s="114">
        <v>0.3</v>
      </c>
      <c r="CY49" s="111">
        <f>(CT49+CW49)*CX49</f>
        <v>236.39999999999998</v>
      </c>
      <c r="CZ49" s="111">
        <f>(CT49+CW49)*20%</f>
        <v>157.60000000000002</v>
      </c>
      <c r="DA49" s="118">
        <f>CT49+CU49+CW49+CY49+CZ49</f>
        <v>1182</v>
      </c>
      <c r="DB49" s="111">
        <f>H49+S49+AD49+AO49+AZ49+BK49+BV49+CR49+CR50+S50+CG49</f>
        <v>6</v>
      </c>
      <c r="DC49" s="118">
        <f>Q49+AB49+AB50+AM49+AX49+BI49+BT49+CE49+DA49+DA50+CP49</f>
        <v>30792.800000000003</v>
      </c>
    </row>
    <row r="50" spans="1:107" s="119" customFormat="1" ht="26.25">
      <c r="A50" s="161"/>
      <c r="B50" s="111"/>
      <c r="C50" s="111"/>
      <c r="D50" s="111"/>
      <c r="E50" s="111"/>
      <c r="F50" s="123"/>
      <c r="G50" s="113"/>
      <c r="H50" s="111"/>
      <c r="I50" s="111"/>
      <c r="J50" s="111"/>
      <c r="K50" s="111"/>
      <c r="L50" s="111"/>
      <c r="M50" s="111"/>
      <c r="N50" s="114"/>
      <c r="O50" s="111">
        <f t="shared" si="63"/>
        <v>0</v>
      </c>
      <c r="P50" s="111">
        <f t="shared" si="64"/>
        <v>0</v>
      </c>
      <c r="Q50" s="115"/>
      <c r="R50" s="111"/>
      <c r="S50" s="111"/>
      <c r="T50" s="111"/>
      <c r="U50" s="117">
        <f t="shared" si="65"/>
        <v>0</v>
      </c>
      <c r="V50" s="111"/>
      <c r="W50" s="111"/>
      <c r="X50" s="111"/>
      <c r="Y50" s="114"/>
      <c r="Z50" s="117">
        <f t="shared" si="76"/>
        <v>0</v>
      </c>
      <c r="AA50" s="111">
        <f t="shared" si="66"/>
        <v>0</v>
      </c>
      <c r="AB50" s="118">
        <f t="shared" si="77"/>
        <v>0</v>
      </c>
      <c r="AC50" s="111"/>
      <c r="AD50" s="111"/>
      <c r="AE50" s="111"/>
      <c r="AF50" s="111">
        <f t="shared" si="72"/>
        <v>0</v>
      </c>
      <c r="AG50" s="111"/>
      <c r="AH50" s="111"/>
      <c r="AI50" s="111"/>
      <c r="AJ50" s="111"/>
      <c r="AK50" s="111"/>
      <c r="AL50" s="111">
        <f t="shared" si="67"/>
        <v>0</v>
      </c>
      <c r="AM50" s="115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>
        <f t="shared" si="68"/>
        <v>0</v>
      </c>
      <c r="AX50" s="115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>
        <f t="shared" si="69"/>
        <v>0</v>
      </c>
      <c r="BI50" s="115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>
        <f t="shared" si="73"/>
        <v>0</v>
      </c>
      <c r="BT50" s="115"/>
      <c r="BU50" s="111"/>
      <c r="BV50" s="111"/>
      <c r="BW50" s="111"/>
      <c r="BX50" s="111"/>
      <c r="BY50" s="111"/>
      <c r="BZ50" s="111"/>
      <c r="CA50" s="111"/>
      <c r="CB50" s="114"/>
      <c r="CC50" s="111"/>
      <c r="CD50" s="111"/>
      <c r="CE50" s="118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5"/>
      <c r="CQ50" s="111">
        <v>12</v>
      </c>
      <c r="CR50" s="111">
        <v>1.25</v>
      </c>
      <c r="CS50" s="113">
        <v>3392</v>
      </c>
      <c r="CT50" s="111">
        <f>CR50*CS50</f>
        <v>4240</v>
      </c>
      <c r="CU50" s="111"/>
      <c r="CV50" s="111"/>
      <c r="CW50" s="111"/>
      <c r="CX50" s="114">
        <v>0.2</v>
      </c>
      <c r="CY50" s="117">
        <f>(CT50+CW50)*CX50</f>
        <v>848</v>
      </c>
      <c r="CZ50" s="117">
        <f>(CT50+CW50)*20%</f>
        <v>848</v>
      </c>
      <c r="DA50" s="115">
        <f>CT50+CU50+CW50+CY50+CZ50</f>
        <v>5936</v>
      </c>
      <c r="DB50" s="111"/>
      <c r="DC50" s="118"/>
    </row>
    <row r="51" spans="1:107" s="119" customFormat="1" ht="26.25">
      <c r="A51" s="111">
        <v>18</v>
      </c>
      <c r="B51" s="111" t="s">
        <v>70</v>
      </c>
      <c r="C51" s="111">
        <v>10</v>
      </c>
      <c r="D51" s="111">
        <v>10</v>
      </c>
      <c r="E51" s="111">
        <v>113</v>
      </c>
      <c r="F51" s="123"/>
      <c r="G51" s="113">
        <v>16</v>
      </c>
      <c r="H51" s="111">
        <v>1</v>
      </c>
      <c r="I51" s="111"/>
      <c r="J51" s="111">
        <v>4464</v>
      </c>
      <c r="K51" s="111"/>
      <c r="L51" s="111"/>
      <c r="M51" s="111"/>
      <c r="N51" s="114">
        <v>0.3</v>
      </c>
      <c r="O51" s="111">
        <f t="shared" si="63"/>
        <v>1339.2</v>
      </c>
      <c r="P51" s="111">
        <f t="shared" si="64"/>
        <v>892.8000000000001</v>
      </c>
      <c r="Q51" s="115">
        <f>J51+K51+M51+O51+P51</f>
        <v>6696</v>
      </c>
      <c r="R51" s="111"/>
      <c r="S51" s="111">
        <v>0.75</v>
      </c>
      <c r="T51" s="111">
        <f>J51*95%</f>
        <v>4240.8</v>
      </c>
      <c r="U51" s="117">
        <f t="shared" si="65"/>
        <v>3180.6000000000004</v>
      </c>
      <c r="V51" s="111"/>
      <c r="W51" s="111"/>
      <c r="X51" s="111">
        <f>U51*W51</f>
        <v>0</v>
      </c>
      <c r="Y51" s="114">
        <v>0.3</v>
      </c>
      <c r="Z51" s="117">
        <f t="shared" si="76"/>
        <v>954.1800000000001</v>
      </c>
      <c r="AA51" s="111">
        <f t="shared" si="66"/>
        <v>636.1200000000001</v>
      </c>
      <c r="AB51" s="118">
        <f t="shared" si="77"/>
        <v>4770.900000000001</v>
      </c>
      <c r="AC51" s="111">
        <v>11</v>
      </c>
      <c r="AD51" s="111">
        <v>1</v>
      </c>
      <c r="AE51" s="111">
        <v>3152</v>
      </c>
      <c r="AF51" s="111">
        <f t="shared" si="72"/>
        <v>3152</v>
      </c>
      <c r="AG51" s="111"/>
      <c r="AH51" s="111"/>
      <c r="AI51" s="111"/>
      <c r="AJ51" s="114">
        <v>0.1</v>
      </c>
      <c r="AK51" s="111">
        <f>(AF51+AI51)*AJ51</f>
        <v>315.20000000000005</v>
      </c>
      <c r="AL51" s="111">
        <f t="shared" si="67"/>
        <v>630.4000000000001</v>
      </c>
      <c r="AM51" s="115">
        <f>AF51+AG51+AI51+AK51+AL51</f>
        <v>4097.6</v>
      </c>
      <c r="AN51" s="111">
        <v>9</v>
      </c>
      <c r="AO51" s="111">
        <v>0.5</v>
      </c>
      <c r="AP51" s="111">
        <v>2768</v>
      </c>
      <c r="AQ51" s="111">
        <f>AO51*AP51</f>
        <v>1384</v>
      </c>
      <c r="AR51" s="111"/>
      <c r="AS51" s="111"/>
      <c r="AT51" s="111">
        <f>AQ51*AS51</f>
        <v>0</v>
      </c>
      <c r="AU51" s="111"/>
      <c r="AV51" s="111">
        <f>(AQ51+AT51)*AU51</f>
        <v>0</v>
      </c>
      <c r="AW51" s="111">
        <f t="shared" si="68"/>
        <v>692</v>
      </c>
      <c r="AX51" s="115">
        <f>AQ51+AR51+AT51+AV51+AW51</f>
        <v>2076</v>
      </c>
      <c r="AY51" s="111">
        <v>11</v>
      </c>
      <c r="AZ51" s="111">
        <v>0.5</v>
      </c>
      <c r="BA51" s="111">
        <v>3152</v>
      </c>
      <c r="BB51" s="111">
        <f>AZ51*BA51</f>
        <v>1576</v>
      </c>
      <c r="BC51" s="111"/>
      <c r="BD51" s="111"/>
      <c r="BE51" s="111">
        <f>BB51*BD51</f>
        <v>0</v>
      </c>
      <c r="BF51" s="114">
        <v>0.1</v>
      </c>
      <c r="BG51" s="111">
        <f>(BB51+BE51)*BF51</f>
        <v>157.60000000000002</v>
      </c>
      <c r="BH51" s="111">
        <f t="shared" si="69"/>
        <v>315.20000000000005</v>
      </c>
      <c r="BI51" s="115">
        <f>BB51+BC51+BE51+BG51+BH51</f>
        <v>2048.8</v>
      </c>
      <c r="BJ51" s="111">
        <v>11</v>
      </c>
      <c r="BK51" s="111">
        <v>0.5</v>
      </c>
      <c r="BL51" s="111">
        <v>3152</v>
      </c>
      <c r="BM51" s="111">
        <f>BK51*BL51</f>
        <v>1576</v>
      </c>
      <c r="BN51" s="111"/>
      <c r="BO51" s="111"/>
      <c r="BP51" s="111">
        <f>BM51*BO51</f>
        <v>0</v>
      </c>
      <c r="BQ51" s="114">
        <v>0.1</v>
      </c>
      <c r="BR51" s="111">
        <f>(BM51+BP51)*BQ51</f>
        <v>157.60000000000002</v>
      </c>
      <c r="BS51" s="111">
        <f t="shared" si="73"/>
        <v>315.20000000000005</v>
      </c>
      <c r="BT51" s="115">
        <f>BM51+BN51+BP51+BR51+BS51</f>
        <v>2048.8</v>
      </c>
      <c r="BU51" s="111"/>
      <c r="BV51" s="111"/>
      <c r="BW51" s="111"/>
      <c r="BX51" s="111">
        <f>BV51*BW51</f>
        <v>0</v>
      </c>
      <c r="BY51" s="111"/>
      <c r="BZ51" s="111"/>
      <c r="CA51" s="111">
        <f>BX51*BZ51</f>
        <v>0</v>
      </c>
      <c r="CB51" s="111"/>
      <c r="CC51" s="111">
        <f>(BX51+CA51)*CB51</f>
        <v>0</v>
      </c>
      <c r="CD51" s="111">
        <f>(BX51+CA51)*20%</f>
        <v>0</v>
      </c>
      <c r="CE51" s="115">
        <f>BX51+BY51+CA51+CC51+CD51</f>
        <v>0</v>
      </c>
      <c r="CF51" s="111"/>
      <c r="CG51" s="111"/>
      <c r="CH51" s="111"/>
      <c r="CI51" s="111">
        <f t="shared" si="70"/>
        <v>0</v>
      </c>
      <c r="CJ51" s="111"/>
      <c r="CK51" s="111"/>
      <c r="CL51" s="111">
        <f>CI51*CK51</f>
        <v>0</v>
      </c>
      <c r="CM51" s="111"/>
      <c r="CN51" s="111">
        <f>(CI51+CL51)*CM51</f>
        <v>0</v>
      </c>
      <c r="CO51" s="111">
        <f>(CI51+CL51)*20%</f>
        <v>0</v>
      </c>
      <c r="CP51" s="115">
        <f t="shared" si="71"/>
        <v>0</v>
      </c>
      <c r="CQ51" s="111"/>
      <c r="CR51" s="111"/>
      <c r="CS51" s="111"/>
      <c r="CT51" s="111">
        <f>CR51*CS51</f>
        <v>0</v>
      </c>
      <c r="CU51" s="111"/>
      <c r="CV51" s="111"/>
      <c r="CW51" s="111">
        <f>CT51*CV51</f>
        <v>0</v>
      </c>
      <c r="CX51" s="111"/>
      <c r="CY51" s="111">
        <f>(CT51+CW51)*CX51</f>
        <v>0</v>
      </c>
      <c r="CZ51" s="111">
        <f>(CT51+CW51)*20%</f>
        <v>0</v>
      </c>
      <c r="DA51" s="115">
        <f>CT51+CU51+CW51+CY51+CZ51</f>
        <v>0</v>
      </c>
      <c r="DB51" s="111">
        <f>H51+S51+AD51+AZ51+BK51+BV51+CG51+CR51+AO51+S52+S53</f>
        <v>5</v>
      </c>
      <c r="DC51" s="118">
        <f>Q51+AB51+AM51+AX51+BI51+BT51+AB52+AB53+CP51</f>
        <v>26509</v>
      </c>
    </row>
    <row r="52" spans="1:107" s="119" customFormat="1" ht="26.25">
      <c r="A52" s="111"/>
      <c r="B52" s="111"/>
      <c r="C52" s="111"/>
      <c r="D52" s="111"/>
      <c r="E52" s="111"/>
      <c r="F52" s="123"/>
      <c r="G52" s="113"/>
      <c r="H52" s="111"/>
      <c r="I52" s="111"/>
      <c r="J52" s="111"/>
      <c r="K52" s="111"/>
      <c r="L52" s="111"/>
      <c r="M52" s="111"/>
      <c r="N52" s="114"/>
      <c r="O52" s="111">
        <f t="shared" si="63"/>
        <v>0</v>
      </c>
      <c r="P52" s="111">
        <f t="shared" si="64"/>
        <v>0</v>
      </c>
      <c r="Q52" s="115"/>
      <c r="R52" s="111"/>
      <c r="S52" s="111">
        <v>0.75</v>
      </c>
      <c r="T52" s="111">
        <f>J51*95%</f>
        <v>4240.8</v>
      </c>
      <c r="U52" s="117">
        <f t="shared" si="65"/>
        <v>3180.6000000000004</v>
      </c>
      <c r="V52" s="111"/>
      <c r="W52" s="111"/>
      <c r="X52" s="111"/>
      <c r="Y52" s="114">
        <v>0.3</v>
      </c>
      <c r="Z52" s="117">
        <f t="shared" si="76"/>
        <v>954.1800000000001</v>
      </c>
      <c r="AA52" s="111">
        <f t="shared" si="66"/>
        <v>636.1200000000001</v>
      </c>
      <c r="AB52" s="118">
        <f t="shared" si="77"/>
        <v>4770.900000000001</v>
      </c>
      <c r="AC52" s="111"/>
      <c r="AD52" s="111"/>
      <c r="AE52" s="111"/>
      <c r="AF52" s="111">
        <f t="shared" si="72"/>
        <v>0</v>
      </c>
      <c r="AG52" s="111"/>
      <c r="AH52" s="111"/>
      <c r="AI52" s="111"/>
      <c r="AJ52" s="111"/>
      <c r="AK52" s="111"/>
      <c r="AL52" s="111">
        <f t="shared" si="67"/>
        <v>0</v>
      </c>
      <c r="AM52" s="115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>
        <f t="shared" si="68"/>
        <v>0</v>
      </c>
      <c r="AX52" s="115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>
        <f t="shared" si="69"/>
        <v>0</v>
      </c>
      <c r="BI52" s="115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>
        <f t="shared" si="73"/>
        <v>0</v>
      </c>
      <c r="BT52" s="115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5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5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5"/>
      <c r="DB52" s="111"/>
      <c r="DC52" s="118"/>
    </row>
    <row r="53" spans="1:107" ht="21.75" customHeight="1">
      <c r="A53" s="8"/>
      <c r="B53" s="8"/>
      <c r="C53" s="8"/>
      <c r="D53" s="8"/>
      <c r="E53" s="8"/>
      <c r="F53" s="23"/>
      <c r="G53" s="10"/>
      <c r="H53" s="8"/>
      <c r="I53" s="8"/>
      <c r="J53" s="8"/>
      <c r="K53" s="8"/>
      <c r="L53" s="8"/>
      <c r="M53" s="8"/>
      <c r="N53" s="65"/>
      <c r="O53" s="121">
        <f t="shared" si="63"/>
        <v>0</v>
      </c>
      <c r="P53" s="121">
        <f t="shared" si="64"/>
        <v>0</v>
      </c>
      <c r="Q53" s="67"/>
      <c r="R53" s="8"/>
      <c r="S53" s="8"/>
      <c r="T53" s="8"/>
      <c r="U53" s="66">
        <f t="shared" si="65"/>
        <v>0</v>
      </c>
      <c r="V53" s="8"/>
      <c r="W53" s="8"/>
      <c r="X53" s="8"/>
      <c r="Y53" s="65"/>
      <c r="Z53" s="66">
        <f t="shared" si="76"/>
        <v>0</v>
      </c>
      <c r="AA53" s="8">
        <f t="shared" si="66"/>
        <v>0</v>
      </c>
      <c r="AB53" s="69">
        <f t="shared" si="77"/>
        <v>0</v>
      </c>
      <c r="AC53" s="8"/>
      <c r="AD53" s="8"/>
      <c r="AE53" s="8"/>
      <c r="AF53" s="8">
        <f t="shared" si="72"/>
        <v>0</v>
      </c>
      <c r="AG53" s="8"/>
      <c r="AH53" s="8"/>
      <c r="AI53" s="8"/>
      <c r="AJ53" s="8"/>
      <c r="AK53" s="8"/>
      <c r="AL53" s="8">
        <f t="shared" si="67"/>
        <v>0</v>
      </c>
      <c r="AM53" s="67"/>
      <c r="AN53" s="8"/>
      <c r="AO53" s="8"/>
      <c r="AP53" s="8"/>
      <c r="AQ53" s="8"/>
      <c r="AR53" s="8"/>
      <c r="AS53" s="8"/>
      <c r="AT53" s="8"/>
      <c r="AU53" s="8"/>
      <c r="AV53" s="8"/>
      <c r="AW53" s="8">
        <f t="shared" si="68"/>
        <v>0</v>
      </c>
      <c r="AX53" s="67"/>
      <c r="AY53" s="8"/>
      <c r="AZ53" s="8"/>
      <c r="BA53" s="8"/>
      <c r="BB53" s="8"/>
      <c r="BC53" s="8"/>
      <c r="BD53" s="8"/>
      <c r="BE53" s="8"/>
      <c r="BF53" s="8"/>
      <c r="BG53" s="8"/>
      <c r="BH53" s="8">
        <f t="shared" si="69"/>
        <v>0</v>
      </c>
      <c r="BI53" s="67"/>
      <c r="BJ53" s="8"/>
      <c r="BK53" s="8"/>
      <c r="BL53" s="8"/>
      <c r="BM53" s="8"/>
      <c r="BN53" s="8"/>
      <c r="BO53" s="8"/>
      <c r="BP53" s="8"/>
      <c r="BQ53" s="8"/>
      <c r="BR53" s="8"/>
      <c r="BS53" s="8">
        <f t="shared" si="73"/>
        <v>0</v>
      </c>
      <c r="BT53" s="67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67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67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67"/>
      <c r="DB53" s="8"/>
      <c r="DC53" s="69"/>
    </row>
    <row r="54" spans="1:107" s="133" customFormat="1" ht="37.5" customHeight="1">
      <c r="A54" s="111">
        <v>19</v>
      </c>
      <c r="B54" s="111" t="s">
        <v>71</v>
      </c>
      <c r="C54" s="111">
        <v>10</v>
      </c>
      <c r="D54" s="111">
        <v>10</v>
      </c>
      <c r="E54" s="111">
        <v>163</v>
      </c>
      <c r="F54" s="123"/>
      <c r="G54" s="113">
        <v>15</v>
      </c>
      <c r="H54" s="111">
        <v>1</v>
      </c>
      <c r="I54" s="111"/>
      <c r="J54" s="111">
        <v>4128</v>
      </c>
      <c r="K54" s="111"/>
      <c r="L54" s="111"/>
      <c r="M54" s="111"/>
      <c r="N54" s="114">
        <v>0.2</v>
      </c>
      <c r="O54" s="111">
        <f t="shared" si="63"/>
        <v>825.6</v>
      </c>
      <c r="P54" s="111">
        <f t="shared" si="64"/>
        <v>825.6</v>
      </c>
      <c r="Q54" s="115">
        <f>J54+K54+M54+O54+P54</f>
        <v>5779.200000000001</v>
      </c>
      <c r="R54" s="111"/>
      <c r="S54" s="111">
        <v>1</v>
      </c>
      <c r="T54" s="111">
        <f>J54*95%</f>
        <v>3921.6</v>
      </c>
      <c r="U54" s="111">
        <f t="shared" si="65"/>
        <v>3921.6</v>
      </c>
      <c r="V54" s="111"/>
      <c r="W54" s="111"/>
      <c r="X54" s="111">
        <f>U54*W54</f>
        <v>0</v>
      </c>
      <c r="Y54" s="114">
        <v>0.3</v>
      </c>
      <c r="Z54" s="117">
        <f t="shared" si="76"/>
        <v>1176.48</v>
      </c>
      <c r="AA54" s="111">
        <f t="shared" si="66"/>
        <v>784.32</v>
      </c>
      <c r="AB54" s="118">
        <f t="shared" si="77"/>
        <v>5882.4</v>
      </c>
      <c r="AC54" s="111">
        <v>10</v>
      </c>
      <c r="AD54" s="111">
        <v>1</v>
      </c>
      <c r="AE54" s="111">
        <v>2912</v>
      </c>
      <c r="AF54" s="111">
        <f t="shared" si="72"/>
        <v>2912</v>
      </c>
      <c r="AG54" s="111"/>
      <c r="AH54" s="111"/>
      <c r="AI54" s="111"/>
      <c r="AJ54" s="114">
        <v>0.1</v>
      </c>
      <c r="AK54" s="111">
        <f>(AF54+AI54)*AJ54</f>
        <v>291.2</v>
      </c>
      <c r="AL54" s="111">
        <f t="shared" si="67"/>
        <v>582.4</v>
      </c>
      <c r="AM54" s="115">
        <f>AF54+AG54+AI54+AK54+AL54</f>
        <v>3785.6</v>
      </c>
      <c r="AN54" s="111">
        <v>10</v>
      </c>
      <c r="AO54" s="111">
        <v>0.5</v>
      </c>
      <c r="AP54" s="111">
        <v>2912</v>
      </c>
      <c r="AQ54" s="111">
        <f>AO54*AP54</f>
        <v>1456</v>
      </c>
      <c r="AR54" s="111"/>
      <c r="AS54" s="111"/>
      <c r="AT54" s="111">
        <f>AQ54*AS54</f>
        <v>0</v>
      </c>
      <c r="AU54" s="114">
        <v>0.1</v>
      </c>
      <c r="AV54" s="111">
        <f>(AQ54+AT54)*AU54</f>
        <v>145.6</v>
      </c>
      <c r="AW54" s="111">
        <f t="shared" si="68"/>
        <v>728</v>
      </c>
      <c r="AX54" s="115">
        <f>AQ54+AR54+AT54+AV54+AW54</f>
        <v>2329.6</v>
      </c>
      <c r="AY54" s="111">
        <v>11</v>
      </c>
      <c r="AZ54" s="111">
        <v>0.5</v>
      </c>
      <c r="BA54" s="111">
        <v>3152</v>
      </c>
      <c r="BB54" s="111">
        <f>AZ54*BA54</f>
        <v>1576</v>
      </c>
      <c r="BC54" s="111"/>
      <c r="BD54" s="111"/>
      <c r="BE54" s="111">
        <f>BB54*BD54</f>
        <v>0</v>
      </c>
      <c r="BF54" s="114">
        <v>0.1</v>
      </c>
      <c r="BG54" s="111">
        <f>(BB54+BE54)*BF54</f>
        <v>157.60000000000002</v>
      </c>
      <c r="BH54" s="111">
        <f t="shared" si="69"/>
        <v>315.20000000000005</v>
      </c>
      <c r="BI54" s="115">
        <f>BB54+BC54+BE54+BG54+BH54</f>
        <v>2048.8</v>
      </c>
      <c r="BJ54" s="111">
        <v>11</v>
      </c>
      <c r="BK54" s="111">
        <v>0.5</v>
      </c>
      <c r="BL54" s="111">
        <v>3152</v>
      </c>
      <c r="BM54" s="111">
        <f>BK54*BL54</f>
        <v>1576</v>
      </c>
      <c r="BN54" s="111"/>
      <c r="BO54" s="111"/>
      <c r="BP54" s="111">
        <f>BM54*BO54</f>
        <v>0</v>
      </c>
      <c r="BQ54" s="114">
        <v>0.1</v>
      </c>
      <c r="BR54" s="111">
        <f>(BM54+BP54)*BQ54</f>
        <v>157.60000000000002</v>
      </c>
      <c r="BS54" s="111">
        <f t="shared" si="73"/>
        <v>315.20000000000005</v>
      </c>
      <c r="BT54" s="115">
        <f>BM54+BN54+BP54+BR54+BS54</f>
        <v>2048.8</v>
      </c>
      <c r="BU54" s="111"/>
      <c r="BV54" s="111"/>
      <c r="BW54" s="111"/>
      <c r="BX54" s="111">
        <f>BV54*BW54</f>
        <v>0</v>
      </c>
      <c r="BY54" s="111"/>
      <c r="BZ54" s="111"/>
      <c r="CA54" s="111">
        <f>BX54*BZ54</f>
        <v>0</v>
      </c>
      <c r="CB54" s="111"/>
      <c r="CC54" s="111">
        <f>(BX54+CA54)*CB54</f>
        <v>0</v>
      </c>
      <c r="CD54" s="111">
        <f>(BX54+CA54)*20%</f>
        <v>0</v>
      </c>
      <c r="CE54" s="115">
        <f>BX54+BY54+CA54+CC54+CD54</f>
        <v>0</v>
      </c>
      <c r="CF54" s="111">
        <v>11</v>
      </c>
      <c r="CG54" s="111">
        <v>1</v>
      </c>
      <c r="CH54" s="111">
        <v>3152</v>
      </c>
      <c r="CI54" s="111">
        <f t="shared" si="70"/>
        <v>3152</v>
      </c>
      <c r="CJ54" s="111"/>
      <c r="CK54" s="111"/>
      <c r="CL54" s="111">
        <f>CI54*CK54</f>
        <v>0</v>
      </c>
      <c r="CM54" s="114">
        <v>0.1</v>
      </c>
      <c r="CN54" s="117">
        <f aca="true" t="shared" si="78" ref="CN54:CN63">(CI54+CL54)*CM54</f>
        <v>315.20000000000005</v>
      </c>
      <c r="CO54" s="117">
        <f aca="true" t="shared" si="79" ref="CO54:CO59">(CI54+CL54)*20%</f>
        <v>630.4000000000001</v>
      </c>
      <c r="CP54" s="118">
        <f t="shared" si="71"/>
        <v>4097.6</v>
      </c>
      <c r="CQ54" s="111"/>
      <c r="CR54" s="111"/>
      <c r="CS54" s="111"/>
      <c r="CT54" s="111">
        <f>CR54*CS54</f>
        <v>0</v>
      </c>
      <c r="CU54" s="111"/>
      <c r="CV54" s="111"/>
      <c r="CW54" s="111">
        <f>CT54*CV54</f>
        <v>0</v>
      </c>
      <c r="CX54" s="111"/>
      <c r="CY54" s="111">
        <f>(CT54+CW54)*CX54</f>
        <v>0</v>
      </c>
      <c r="CZ54" s="111">
        <f>(CT54+CW54)*20%</f>
        <v>0</v>
      </c>
      <c r="DA54" s="115">
        <f>CT54+CU54+CW54+CY54+CZ54</f>
        <v>0</v>
      </c>
      <c r="DB54" s="111">
        <f>H54+S54+S56+AD54+AO54+AZ54+BK54+CG54+CG56+CG55</f>
        <v>7.25</v>
      </c>
      <c r="DC54" s="118">
        <f>Q54+AB54+AB56+AM54+AX54+BI54+BT54+CP54+CP56+CP55</f>
        <v>34113.2</v>
      </c>
    </row>
    <row r="55" spans="1:107" s="133" customFormat="1" ht="37.5" customHeight="1">
      <c r="A55" s="111"/>
      <c r="B55" s="129"/>
      <c r="C55" s="129"/>
      <c r="D55" s="129"/>
      <c r="E55" s="129"/>
      <c r="F55" s="130"/>
      <c r="G55" s="128"/>
      <c r="H55" s="129"/>
      <c r="I55" s="129"/>
      <c r="J55" s="129"/>
      <c r="K55" s="111"/>
      <c r="L55" s="111"/>
      <c r="M55" s="111"/>
      <c r="N55" s="114"/>
      <c r="O55" s="111"/>
      <c r="P55" s="111"/>
      <c r="Q55" s="115"/>
      <c r="R55" s="129"/>
      <c r="S55" s="129"/>
      <c r="T55" s="111"/>
      <c r="U55" s="111"/>
      <c r="V55" s="111"/>
      <c r="W55" s="111"/>
      <c r="X55" s="111"/>
      <c r="Y55" s="114"/>
      <c r="Z55" s="117"/>
      <c r="AA55" s="111"/>
      <c r="AB55" s="118"/>
      <c r="AC55" s="129"/>
      <c r="AD55" s="129"/>
      <c r="AE55" s="129"/>
      <c r="AF55" s="111"/>
      <c r="AG55" s="111"/>
      <c r="AH55" s="111"/>
      <c r="AI55" s="111"/>
      <c r="AJ55" s="114"/>
      <c r="AK55" s="111"/>
      <c r="AL55" s="111"/>
      <c r="AM55" s="115"/>
      <c r="AN55" s="129"/>
      <c r="AO55" s="129"/>
      <c r="AP55" s="129"/>
      <c r="AQ55" s="111"/>
      <c r="AR55" s="129"/>
      <c r="AS55" s="129"/>
      <c r="AT55" s="111"/>
      <c r="AU55" s="131"/>
      <c r="AV55" s="111"/>
      <c r="AW55" s="111"/>
      <c r="AX55" s="115"/>
      <c r="AY55" s="129"/>
      <c r="AZ55" s="129"/>
      <c r="BA55" s="129"/>
      <c r="BB55" s="111"/>
      <c r="BC55" s="111"/>
      <c r="BD55" s="111"/>
      <c r="BE55" s="111"/>
      <c r="BF55" s="114"/>
      <c r="BG55" s="111"/>
      <c r="BH55" s="111"/>
      <c r="BI55" s="115"/>
      <c r="BJ55" s="129"/>
      <c r="BK55" s="129"/>
      <c r="BL55" s="129"/>
      <c r="BM55" s="111"/>
      <c r="BN55" s="111"/>
      <c r="BO55" s="111"/>
      <c r="BP55" s="111"/>
      <c r="BQ55" s="114"/>
      <c r="BR55" s="111"/>
      <c r="BS55" s="111"/>
      <c r="BT55" s="115"/>
      <c r="BU55" s="129"/>
      <c r="BV55" s="129"/>
      <c r="BW55" s="129"/>
      <c r="BX55" s="111"/>
      <c r="BY55" s="111"/>
      <c r="BZ55" s="111"/>
      <c r="CA55" s="111"/>
      <c r="CB55" s="111"/>
      <c r="CC55" s="111"/>
      <c r="CD55" s="111"/>
      <c r="CE55" s="115"/>
      <c r="CF55" s="129">
        <v>12</v>
      </c>
      <c r="CG55" s="129">
        <v>0.75</v>
      </c>
      <c r="CH55" s="129">
        <v>3392</v>
      </c>
      <c r="CI55" s="111">
        <f t="shared" si="70"/>
        <v>2544</v>
      </c>
      <c r="CJ55" s="111"/>
      <c r="CK55" s="111"/>
      <c r="CL55" s="111"/>
      <c r="CM55" s="114">
        <v>0.1</v>
      </c>
      <c r="CN55" s="117">
        <f t="shared" si="78"/>
        <v>254.4</v>
      </c>
      <c r="CO55" s="117">
        <f t="shared" si="79"/>
        <v>508.8</v>
      </c>
      <c r="CP55" s="118">
        <f t="shared" si="71"/>
        <v>3307.2000000000003</v>
      </c>
      <c r="CQ55" s="129"/>
      <c r="CR55" s="129"/>
      <c r="CS55" s="129"/>
      <c r="CT55" s="111"/>
      <c r="CU55" s="111"/>
      <c r="CV55" s="111"/>
      <c r="CW55" s="111"/>
      <c r="CX55" s="111"/>
      <c r="CY55" s="111"/>
      <c r="CZ55" s="111"/>
      <c r="DA55" s="115"/>
      <c r="DB55" s="111"/>
      <c r="DC55" s="118"/>
    </row>
    <row r="56" spans="1:107" s="133" customFormat="1" ht="37.5" customHeight="1">
      <c r="A56" s="111"/>
      <c r="B56" s="129"/>
      <c r="C56" s="129"/>
      <c r="D56" s="129"/>
      <c r="E56" s="129"/>
      <c r="F56" s="130"/>
      <c r="G56" s="128"/>
      <c r="H56" s="129"/>
      <c r="I56" s="129"/>
      <c r="J56" s="129"/>
      <c r="K56" s="111"/>
      <c r="L56" s="111"/>
      <c r="M56" s="111"/>
      <c r="N56" s="114"/>
      <c r="O56" s="111">
        <f t="shared" si="63"/>
        <v>0</v>
      </c>
      <c r="P56" s="111">
        <f t="shared" si="64"/>
        <v>0</v>
      </c>
      <c r="Q56" s="115"/>
      <c r="R56" s="129"/>
      <c r="S56" s="129">
        <v>0.5</v>
      </c>
      <c r="T56" s="111">
        <f>J54*95%</f>
        <v>3921.6</v>
      </c>
      <c r="U56" s="117">
        <f t="shared" si="65"/>
        <v>1960.8</v>
      </c>
      <c r="V56" s="111"/>
      <c r="W56" s="111"/>
      <c r="X56" s="111"/>
      <c r="Y56" s="114">
        <v>0.3</v>
      </c>
      <c r="Z56" s="117">
        <f t="shared" si="76"/>
        <v>588.24</v>
      </c>
      <c r="AA56" s="117">
        <f t="shared" si="66"/>
        <v>392.16</v>
      </c>
      <c r="AB56" s="118">
        <f>U56+V56+X56+Z56+AA56</f>
        <v>2941.2</v>
      </c>
      <c r="AC56" s="129"/>
      <c r="AD56" s="129"/>
      <c r="AE56" s="129"/>
      <c r="AF56" s="111">
        <f t="shared" si="72"/>
        <v>0</v>
      </c>
      <c r="AG56" s="111"/>
      <c r="AH56" s="111"/>
      <c r="AI56" s="111"/>
      <c r="AJ56" s="111"/>
      <c r="AK56" s="111"/>
      <c r="AL56" s="111">
        <f t="shared" si="67"/>
        <v>0</v>
      </c>
      <c r="AM56" s="115"/>
      <c r="AN56" s="129"/>
      <c r="AO56" s="129"/>
      <c r="AP56" s="129"/>
      <c r="AQ56" s="111"/>
      <c r="AR56" s="129"/>
      <c r="AS56" s="129"/>
      <c r="AT56" s="111"/>
      <c r="AU56" s="129"/>
      <c r="AV56" s="111"/>
      <c r="AW56" s="111">
        <f t="shared" si="68"/>
        <v>0</v>
      </c>
      <c r="AX56" s="115"/>
      <c r="AY56" s="129"/>
      <c r="AZ56" s="129"/>
      <c r="BA56" s="129"/>
      <c r="BB56" s="111"/>
      <c r="BC56" s="111"/>
      <c r="BD56" s="111"/>
      <c r="BE56" s="111"/>
      <c r="BF56" s="111"/>
      <c r="BG56" s="111"/>
      <c r="BH56" s="111">
        <f t="shared" si="69"/>
        <v>0</v>
      </c>
      <c r="BI56" s="115"/>
      <c r="BJ56" s="129"/>
      <c r="BK56" s="129"/>
      <c r="BL56" s="129"/>
      <c r="BM56" s="111"/>
      <c r="BN56" s="111"/>
      <c r="BO56" s="111"/>
      <c r="BP56" s="111"/>
      <c r="BQ56" s="111"/>
      <c r="BR56" s="111"/>
      <c r="BS56" s="111">
        <f t="shared" si="73"/>
        <v>0</v>
      </c>
      <c r="BT56" s="115"/>
      <c r="BU56" s="129"/>
      <c r="BV56" s="129"/>
      <c r="BW56" s="129"/>
      <c r="BX56" s="111"/>
      <c r="BY56" s="111"/>
      <c r="BZ56" s="111"/>
      <c r="CA56" s="111"/>
      <c r="CB56" s="111"/>
      <c r="CC56" s="111"/>
      <c r="CD56" s="111"/>
      <c r="CE56" s="115"/>
      <c r="CF56" s="129">
        <v>10</v>
      </c>
      <c r="CG56" s="129">
        <v>0.5</v>
      </c>
      <c r="CH56" s="129">
        <v>2912</v>
      </c>
      <c r="CI56" s="111">
        <f>CG56*CH56</f>
        <v>1456</v>
      </c>
      <c r="CJ56" s="111"/>
      <c r="CK56" s="111"/>
      <c r="CL56" s="111">
        <f>CI56*CK56</f>
        <v>0</v>
      </c>
      <c r="CM56" s="114">
        <v>0.1</v>
      </c>
      <c r="CN56" s="117">
        <f t="shared" si="78"/>
        <v>145.6</v>
      </c>
      <c r="CO56" s="117">
        <f t="shared" si="79"/>
        <v>291.2</v>
      </c>
      <c r="CP56" s="118">
        <f>CI56+CJ56+CL56+CN56+CO56</f>
        <v>1892.8</v>
      </c>
      <c r="CQ56" s="129"/>
      <c r="CR56" s="129"/>
      <c r="CS56" s="129"/>
      <c r="CT56" s="111"/>
      <c r="CU56" s="111"/>
      <c r="CV56" s="111"/>
      <c r="CW56" s="111"/>
      <c r="CX56" s="111"/>
      <c r="CY56" s="111"/>
      <c r="CZ56" s="111"/>
      <c r="DA56" s="115"/>
      <c r="DB56" s="111"/>
      <c r="DC56" s="118"/>
    </row>
    <row r="57" spans="1:107" s="119" customFormat="1" ht="34.5" customHeight="1">
      <c r="A57" s="111">
        <v>20</v>
      </c>
      <c r="B57" s="129" t="s">
        <v>72</v>
      </c>
      <c r="C57" s="129">
        <v>11</v>
      </c>
      <c r="D57" s="129">
        <v>11</v>
      </c>
      <c r="E57" s="129">
        <v>195</v>
      </c>
      <c r="F57" s="130"/>
      <c r="G57" s="127">
        <v>16</v>
      </c>
      <c r="H57" s="129">
        <v>1</v>
      </c>
      <c r="I57" s="111"/>
      <c r="J57" s="111">
        <v>4464</v>
      </c>
      <c r="K57" s="111"/>
      <c r="L57" s="111"/>
      <c r="M57" s="111"/>
      <c r="N57" s="114">
        <v>0.3</v>
      </c>
      <c r="O57" s="111">
        <f t="shared" si="63"/>
        <v>1339.2</v>
      </c>
      <c r="P57" s="111">
        <f t="shared" si="64"/>
        <v>892.8000000000001</v>
      </c>
      <c r="Q57" s="115">
        <f>J57+K57+M57+O57+P57</f>
        <v>6696</v>
      </c>
      <c r="R57" s="129"/>
      <c r="S57" s="129">
        <v>0.75</v>
      </c>
      <c r="T57" s="111">
        <f>J57*95%</f>
        <v>4240.8</v>
      </c>
      <c r="U57" s="122">
        <f t="shared" si="65"/>
        <v>3180.6000000000004</v>
      </c>
      <c r="V57" s="111"/>
      <c r="W57" s="111"/>
      <c r="X57" s="111">
        <f>U57*W57</f>
        <v>0</v>
      </c>
      <c r="Y57" s="114">
        <v>0.3</v>
      </c>
      <c r="Z57" s="117">
        <f t="shared" si="76"/>
        <v>954.1800000000001</v>
      </c>
      <c r="AA57" s="117">
        <f t="shared" si="66"/>
        <v>636.1200000000001</v>
      </c>
      <c r="AB57" s="118">
        <f>U57+V57+X57+Z57+AA57</f>
        <v>4770.900000000001</v>
      </c>
      <c r="AC57" s="129">
        <v>12</v>
      </c>
      <c r="AD57" s="129">
        <v>1</v>
      </c>
      <c r="AE57" s="129">
        <v>3392</v>
      </c>
      <c r="AF57" s="111">
        <f>AD57*AE57</f>
        <v>3392</v>
      </c>
      <c r="AG57" s="111"/>
      <c r="AH57" s="111"/>
      <c r="AI57" s="111">
        <f>AF57*AH57</f>
        <v>0</v>
      </c>
      <c r="AJ57" s="114">
        <v>0.1</v>
      </c>
      <c r="AK57" s="111">
        <f>(AF57+AI57)*AJ57</f>
        <v>339.20000000000005</v>
      </c>
      <c r="AL57" s="111">
        <f t="shared" si="67"/>
        <v>678.4000000000001</v>
      </c>
      <c r="AM57" s="115">
        <f>AF57+AG57+AI57+AK57+AL57</f>
        <v>4409.6</v>
      </c>
      <c r="AN57" s="129">
        <v>10</v>
      </c>
      <c r="AO57" s="129">
        <v>1</v>
      </c>
      <c r="AP57" s="129">
        <v>2912</v>
      </c>
      <c r="AQ57" s="111">
        <f>AO57*AP57</f>
        <v>2912</v>
      </c>
      <c r="AR57" s="129"/>
      <c r="AS57" s="131"/>
      <c r="AT57" s="111">
        <f>AQ57*AS57</f>
        <v>0</v>
      </c>
      <c r="AU57" s="131">
        <v>0.3</v>
      </c>
      <c r="AV57" s="111">
        <f>(AQ57+AT57)*AU57</f>
        <v>873.6</v>
      </c>
      <c r="AW57" s="111">
        <f t="shared" si="68"/>
        <v>1456</v>
      </c>
      <c r="AX57" s="115">
        <f>AQ57+AR57+AT57+AV57+AW57</f>
        <v>5241.6</v>
      </c>
      <c r="AY57" s="129">
        <v>12</v>
      </c>
      <c r="AZ57" s="129">
        <v>0.5</v>
      </c>
      <c r="BA57" s="111">
        <v>3392</v>
      </c>
      <c r="BB57" s="111">
        <f>AZ57*BA57</f>
        <v>1696</v>
      </c>
      <c r="BC57" s="111"/>
      <c r="BD57" s="111"/>
      <c r="BE57" s="111">
        <f>BB57*BD57</f>
        <v>0</v>
      </c>
      <c r="BF57" s="114">
        <v>0.1</v>
      </c>
      <c r="BG57" s="111">
        <f>(BB57+BE57)*BF57</f>
        <v>169.60000000000002</v>
      </c>
      <c r="BH57" s="111">
        <f t="shared" si="69"/>
        <v>339.20000000000005</v>
      </c>
      <c r="BI57" s="115">
        <f>BB57+BC57+BE57+BG57+BH57</f>
        <v>2204.8</v>
      </c>
      <c r="BJ57" s="129">
        <v>12</v>
      </c>
      <c r="BK57" s="129">
        <v>0.5</v>
      </c>
      <c r="BL57" s="111">
        <v>3392</v>
      </c>
      <c r="BM57" s="111">
        <f>BK57*BL57</f>
        <v>1696</v>
      </c>
      <c r="BN57" s="111"/>
      <c r="BO57" s="111"/>
      <c r="BP57" s="111">
        <f>BM57*BO57</f>
        <v>0</v>
      </c>
      <c r="BQ57" s="114">
        <v>0.1</v>
      </c>
      <c r="BR57" s="111">
        <f>(BM57+BP57)*BQ57</f>
        <v>169.60000000000002</v>
      </c>
      <c r="BS57" s="111">
        <f t="shared" si="73"/>
        <v>339.20000000000005</v>
      </c>
      <c r="BT57" s="115">
        <f>BM57+BN57+BP57+BR57+BS57</f>
        <v>2204.8</v>
      </c>
      <c r="BU57" s="129"/>
      <c r="BV57" s="129"/>
      <c r="BW57" s="129"/>
      <c r="BX57" s="111">
        <f>BV57*BW57</f>
        <v>0</v>
      </c>
      <c r="BY57" s="111"/>
      <c r="BZ57" s="111"/>
      <c r="CA57" s="111">
        <f>BX57*BZ57</f>
        <v>0</v>
      </c>
      <c r="CB57" s="111"/>
      <c r="CC57" s="111">
        <f>(BX57+CA57)*CB57</f>
        <v>0</v>
      </c>
      <c r="CD57" s="111">
        <f>(BX57+CA57)*20%</f>
        <v>0</v>
      </c>
      <c r="CE57" s="115">
        <f>BX57+BY57+CA57+CC57+CD57</f>
        <v>0</v>
      </c>
      <c r="CF57" s="129">
        <v>11</v>
      </c>
      <c r="CG57" s="129">
        <v>0.3</v>
      </c>
      <c r="CH57" s="129">
        <v>3152</v>
      </c>
      <c r="CI57" s="111">
        <f t="shared" si="70"/>
        <v>945.5999999999999</v>
      </c>
      <c r="CJ57" s="111"/>
      <c r="CK57" s="111"/>
      <c r="CL57" s="111">
        <f>CI57*CK57</f>
        <v>0</v>
      </c>
      <c r="CM57" s="114">
        <v>0.3</v>
      </c>
      <c r="CN57" s="111">
        <f t="shared" si="78"/>
        <v>283.67999999999995</v>
      </c>
      <c r="CO57" s="111">
        <f t="shared" si="79"/>
        <v>189.12</v>
      </c>
      <c r="CP57" s="115">
        <f t="shared" si="71"/>
        <v>1418.3999999999996</v>
      </c>
      <c r="CQ57" s="129"/>
      <c r="CR57" s="129"/>
      <c r="CS57" s="129"/>
      <c r="CT57" s="111">
        <f>CR57*CS57</f>
        <v>0</v>
      </c>
      <c r="CU57" s="111"/>
      <c r="CV57" s="111"/>
      <c r="CW57" s="111">
        <f>CT57*CV57</f>
        <v>0</v>
      </c>
      <c r="CX57" s="111"/>
      <c r="CY57" s="111">
        <f>(CT57+CW57)*CX57</f>
        <v>0</v>
      </c>
      <c r="CZ57" s="111">
        <f>(CT57+CW57)*20%</f>
        <v>0</v>
      </c>
      <c r="DA57" s="115">
        <f>CT57+CU57+CW57+CY57+CZ57</f>
        <v>0</v>
      </c>
      <c r="DB57" s="111">
        <f>H57+S57+S58+AD57+AO57+AZ57+BK57+CG57+CG58+CG60+CG59</f>
        <v>7.25</v>
      </c>
      <c r="DC57" s="118">
        <f>Q57+AB57+AB58+AM57+AX57+BI57+BT57+CP57+CP58+CP60+CP58</f>
        <v>38052.520000000004</v>
      </c>
    </row>
    <row r="58" spans="1:107" s="119" customFormat="1" ht="34.5" customHeight="1">
      <c r="A58" s="111"/>
      <c r="B58" s="129"/>
      <c r="C58" s="129"/>
      <c r="D58" s="129"/>
      <c r="E58" s="129"/>
      <c r="F58" s="130"/>
      <c r="G58" s="127"/>
      <c r="H58" s="129"/>
      <c r="I58" s="129"/>
      <c r="J58" s="129"/>
      <c r="K58" s="111"/>
      <c r="L58" s="111"/>
      <c r="M58" s="111"/>
      <c r="N58" s="114"/>
      <c r="O58" s="111">
        <f t="shared" si="63"/>
        <v>0</v>
      </c>
      <c r="P58" s="111">
        <f t="shared" si="64"/>
        <v>0</v>
      </c>
      <c r="Q58" s="115"/>
      <c r="R58" s="129"/>
      <c r="S58" s="129">
        <v>0.75</v>
      </c>
      <c r="T58" s="111">
        <f>J57*95%</f>
        <v>4240.8</v>
      </c>
      <c r="U58" s="122">
        <f t="shared" si="65"/>
        <v>3180.6000000000004</v>
      </c>
      <c r="V58" s="111"/>
      <c r="W58" s="111"/>
      <c r="X58" s="111">
        <f>U58*W58</f>
        <v>0</v>
      </c>
      <c r="Y58" s="114">
        <v>0.3</v>
      </c>
      <c r="Z58" s="117">
        <f t="shared" si="76"/>
        <v>954.1800000000001</v>
      </c>
      <c r="AA58" s="117">
        <f t="shared" si="66"/>
        <v>636.1200000000001</v>
      </c>
      <c r="AB58" s="118">
        <f>U58+V58+X58+Z58+AA58</f>
        <v>4770.900000000001</v>
      </c>
      <c r="AC58" s="129"/>
      <c r="AD58" s="129"/>
      <c r="AE58" s="129"/>
      <c r="AF58" s="111"/>
      <c r="AG58" s="111"/>
      <c r="AH58" s="111"/>
      <c r="AI58" s="111"/>
      <c r="AJ58" s="111"/>
      <c r="AK58" s="111"/>
      <c r="AL58" s="111">
        <f t="shared" si="67"/>
        <v>0</v>
      </c>
      <c r="AM58" s="115"/>
      <c r="AN58" s="129"/>
      <c r="AO58" s="129"/>
      <c r="AP58" s="129"/>
      <c r="AQ58" s="111"/>
      <c r="AR58" s="129"/>
      <c r="AS58" s="129"/>
      <c r="AT58" s="111"/>
      <c r="AU58" s="129"/>
      <c r="AV58" s="111"/>
      <c r="AW58" s="111">
        <f t="shared" si="68"/>
        <v>0</v>
      </c>
      <c r="AX58" s="115"/>
      <c r="AY58" s="129"/>
      <c r="AZ58" s="129"/>
      <c r="BA58" s="129"/>
      <c r="BB58" s="111"/>
      <c r="BC58" s="111"/>
      <c r="BD58" s="111"/>
      <c r="BE58" s="111"/>
      <c r="BF58" s="111"/>
      <c r="BG58" s="111"/>
      <c r="BH58" s="111">
        <f t="shared" si="69"/>
        <v>0</v>
      </c>
      <c r="BI58" s="115"/>
      <c r="BJ58" s="129"/>
      <c r="BK58" s="129"/>
      <c r="BL58" s="129"/>
      <c r="BM58" s="111"/>
      <c r="BN58" s="111"/>
      <c r="BO58" s="111"/>
      <c r="BP58" s="111"/>
      <c r="BQ58" s="111"/>
      <c r="BR58" s="111"/>
      <c r="BS58" s="111">
        <f t="shared" si="73"/>
        <v>0</v>
      </c>
      <c r="BT58" s="115"/>
      <c r="BU58" s="129"/>
      <c r="BV58" s="129"/>
      <c r="BW58" s="129"/>
      <c r="BX58" s="111"/>
      <c r="BY58" s="111"/>
      <c r="BZ58" s="111"/>
      <c r="CA58" s="111"/>
      <c r="CB58" s="111"/>
      <c r="CC58" s="111"/>
      <c r="CD58" s="111"/>
      <c r="CE58" s="115"/>
      <c r="CF58" s="129">
        <v>11</v>
      </c>
      <c r="CG58" s="129">
        <v>0.45</v>
      </c>
      <c r="CH58" s="129">
        <v>3152</v>
      </c>
      <c r="CI58" s="111">
        <f t="shared" si="70"/>
        <v>1418.4</v>
      </c>
      <c r="CJ58" s="111"/>
      <c r="CK58" s="111"/>
      <c r="CL58" s="111"/>
      <c r="CM58" s="114">
        <v>0.2</v>
      </c>
      <c r="CN58" s="111">
        <f t="shared" si="78"/>
        <v>283.68</v>
      </c>
      <c r="CO58" s="111">
        <f t="shared" si="79"/>
        <v>283.68</v>
      </c>
      <c r="CP58" s="115">
        <f t="shared" si="71"/>
        <v>1985.7600000000002</v>
      </c>
      <c r="CQ58" s="129"/>
      <c r="CR58" s="129"/>
      <c r="CS58" s="129"/>
      <c r="CT58" s="111"/>
      <c r="CU58" s="111"/>
      <c r="CV58" s="111"/>
      <c r="CW58" s="111"/>
      <c r="CX58" s="111"/>
      <c r="CY58" s="111"/>
      <c r="CZ58" s="111"/>
      <c r="DA58" s="115"/>
      <c r="DB58" s="111"/>
      <c r="DC58" s="118"/>
    </row>
    <row r="59" spans="1:107" s="119" customFormat="1" ht="34.5" customHeight="1">
      <c r="A59" s="111"/>
      <c r="B59" s="129"/>
      <c r="C59" s="129"/>
      <c r="D59" s="129"/>
      <c r="E59" s="129"/>
      <c r="F59" s="130"/>
      <c r="G59" s="127"/>
      <c r="H59" s="129"/>
      <c r="I59" s="129"/>
      <c r="J59" s="129"/>
      <c r="K59" s="111"/>
      <c r="L59" s="111"/>
      <c r="M59" s="111"/>
      <c r="N59" s="114"/>
      <c r="O59" s="111"/>
      <c r="P59" s="111"/>
      <c r="Q59" s="115"/>
      <c r="R59" s="129"/>
      <c r="S59" s="129"/>
      <c r="T59" s="111"/>
      <c r="U59" s="122"/>
      <c r="V59" s="111"/>
      <c r="W59" s="111"/>
      <c r="X59" s="111"/>
      <c r="Y59" s="114"/>
      <c r="Z59" s="117"/>
      <c r="AA59" s="117"/>
      <c r="AB59" s="118"/>
      <c r="AC59" s="129"/>
      <c r="AD59" s="129"/>
      <c r="AE59" s="129"/>
      <c r="AF59" s="111"/>
      <c r="AG59" s="111"/>
      <c r="AH59" s="111"/>
      <c r="AI59" s="111"/>
      <c r="AJ59" s="111"/>
      <c r="AK59" s="111"/>
      <c r="AL59" s="111"/>
      <c r="AM59" s="115"/>
      <c r="AN59" s="129"/>
      <c r="AO59" s="129"/>
      <c r="AP59" s="129"/>
      <c r="AQ59" s="111"/>
      <c r="AR59" s="129"/>
      <c r="AS59" s="129"/>
      <c r="AT59" s="111"/>
      <c r="AU59" s="129"/>
      <c r="AV59" s="111"/>
      <c r="AW59" s="111"/>
      <c r="AX59" s="115"/>
      <c r="AY59" s="129"/>
      <c r="AZ59" s="129"/>
      <c r="BA59" s="129"/>
      <c r="BB59" s="111"/>
      <c r="BC59" s="111"/>
      <c r="BD59" s="111"/>
      <c r="BE59" s="111"/>
      <c r="BF59" s="111"/>
      <c r="BG59" s="111"/>
      <c r="BH59" s="111"/>
      <c r="BI59" s="115"/>
      <c r="BJ59" s="129"/>
      <c r="BK59" s="129"/>
      <c r="BL59" s="129"/>
      <c r="BM59" s="111"/>
      <c r="BN59" s="111"/>
      <c r="BO59" s="111"/>
      <c r="BP59" s="111"/>
      <c r="BQ59" s="111"/>
      <c r="BR59" s="111"/>
      <c r="BS59" s="111"/>
      <c r="BT59" s="115"/>
      <c r="BU59" s="129"/>
      <c r="BV59" s="129"/>
      <c r="BW59" s="129"/>
      <c r="BX59" s="111"/>
      <c r="BY59" s="111"/>
      <c r="BZ59" s="111"/>
      <c r="CA59" s="111"/>
      <c r="CB59" s="111"/>
      <c r="CC59" s="111"/>
      <c r="CD59" s="111"/>
      <c r="CE59" s="115"/>
      <c r="CF59" s="129">
        <v>11</v>
      </c>
      <c r="CG59" s="129">
        <v>0.5</v>
      </c>
      <c r="CH59" s="129">
        <v>3152</v>
      </c>
      <c r="CI59" s="111">
        <f t="shared" si="70"/>
        <v>1576</v>
      </c>
      <c r="CJ59" s="111"/>
      <c r="CK59" s="111"/>
      <c r="CL59" s="111"/>
      <c r="CM59" s="114">
        <v>0.1</v>
      </c>
      <c r="CN59" s="111">
        <f t="shared" si="78"/>
        <v>157.60000000000002</v>
      </c>
      <c r="CO59" s="111">
        <f t="shared" si="79"/>
        <v>315.20000000000005</v>
      </c>
      <c r="CP59" s="115">
        <f t="shared" si="71"/>
        <v>2048.8</v>
      </c>
      <c r="CQ59" s="129"/>
      <c r="CR59" s="129"/>
      <c r="CS59" s="129"/>
      <c r="CT59" s="111"/>
      <c r="CU59" s="111"/>
      <c r="CV59" s="111"/>
      <c r="CW59" s="111"/>
      <c r="CX59" s="111"/>
      <c r="CY59" s="111"/>
      <c r="CZ59" s="111"/>
      <c r="DA59" s="115"/>
      <c r="DB59" s="111"/>
      <c r="DC59" s="118"/>
    </row>
    <row r="60" spans="1:107" s="119" customFormat="1" ht="34.5" customHeight="1">
      <c r="A60" s="111"/>
      <c r="B60" s="129"/>
      <c r="C60" s="129"/>
      <c r="D60" s="129"/>
      <c r="E60" s="129"/>
      <c r="F60" s="130"/>
      <c r="G60" s="127"/>
      <c r="H60" s="129"/>
      <c r="I60" s="129"/>
      <c r="J60" s="129"/>
      <c r="K60" s="111"/>
      <c r="L60" s="111"/>
      <c r="M60" s="111"/>
      <c r="N60" s="114"/>
      <c r="O60" s="111">
        <f t="shared" si="63"/>
        <v>0</v>
      </c>
      <c r="P60" s="111">
        <f t="shared" si="64"/>
        <v>0</v>
      </c>
      <c r="Q60" s="115"/>
      <c r="R60" s="129"/>
      <c r="S60" s="129"/>
      <c r="T60" s="111"/>
      <c r="U60" s="122"/>
      <c r="V60" s="111"/>
      <c r="W60" s="111"/>
      <c r="X60" s="111"/>
      <c r="Y60" s="114"/>
      <c r="Z60" s="117"/>
      <c r="AA60" s="117">
        <f t="shared" si="66"/>
        <v>0</v>
      </c>
      <c r="AB60" s="118"/>
      <c r="AC60" s="129"/>
      <c r="AD60" s="129"/>
      <c r="AE60" s="129"/>
      <c r="AF60" s="111"/>
      <c r="AG60" s="111"/>
      <c r="AH60" s="111"/>
      <c r="AI60" s="111"/>
      <c r="AJ60" s="111"/>
      <c r="AK60" s="111"/>
      <c r="AL60" s="111">
        <f t="shared" si="67"/>
        <v>0</v>
      </c>
      <c r="AM60" s="115"/>
      <c r="AN60" s="129"/>
      <c r="AO60" s="129"/>
      <c r="AP60" s="129"/>
      <c r="AQ60" s="111"/>
      <c r="AR60" s="129"/>
      <c r="AS60" s="129"/>
      <c r="AT60" s="111"/>
      <c r="AU60" s="129"/>
      <c r="AV60" s="111"/>
      <c r="AW60" s="111">
        <f t="shared" si="68"/>
        <v>0</v>
      </c>
      <c r="AX60" s="115"/>
      <c r="AY60" s="129"/>
      <c r="AZ60" s="129"/>
      <c r="BA60" s="129"/>
      <c r="BB60" s="111"/>
      <c r="BC60" s="111"/>
      <c r="BD60" s="111"/>
      <c r="BE60" s="111"/>
      <c r="BF60" s="111"/>
      <c r="BG60" s="111"/>
      <c r="BH60" s="111">
        <f t="shared" si="69"/>
        <v>0</v>
      </c>
      <c r="BI60" s="115"/>
      <c r="BJ60" s="129"/>
      <c r="BK60" s="129"/>
      <c r="BL60" s="129"/>
      <c r="BM60" s="111"/>
      <c r="BN60" s="111"/>
      <c r="BO60" s="111"/>
      <c r="BP60" s="111"/>
      <c r="BQ60" s="111"/>
      <c r="BR60" s="111"/>
      <c r="BS60" s="111">
        <f t="shared" si="73"/>
        <v>0</v>
      </c>
      <c r="BT60" s="115"/>
      <c r="BU60" s="129"/>
      <c r="BV60" s="129"/>
      <c r="BW60" s="129"/>
      <c r="BX60" s="111"/>
      <c r="BY60" s="111"/>
      <c r="BZ60" s="111"/>
      <c r="CA60" s="111"/>
      <c r="CB60" s="111"/>
      <c r="CC60" s="111"/>
      <c r="CD60" s="111"/>
      <c r="CE60" s="115"/>
      <c r="CF60" s="129">
        <v>11</v>
      </c>
      <c r="CG60" s="132">
        <v>0.5</v>
      </c>
      <c r="CH60" s="129">
        <v>3152</v>
      </c>
      <c r="CI60" s="111">
        <f t="shared" si="70"/>
        <v>1576</v>
      </c>
      <c r="CJ60" s="111"/>
      <c r="CK60" s="111"/>
      <c r="CL60" s="111"/>
      <c r="CM60" s="114">
        <v>0.3</v>
      </c>
      <c r="CN60" s="111">
        <f t="shared" si="78"/>
        <v>472.79999999999995</v>
      </c>
      <c r="CO60" s="111">
        <f aca="true" t="shared" si="80" ref="CO60:CO65">(CI60+CL60)*20%</f>
        <v>315.20000000000005</v>
      </c>
      <c r="CP60" s="115">
        <f t="shared" si="71"/>
        <v>2364</v>
      </c>
      <c r="CQ60" s="129"/>
      <c r="CR60" s="129"/>
      <c r="CS60" s="129"/>
      <c r="CT60" s="111"/>
      <c r="CU60" s="111"/>
      <c r="CV60" s="111"/>
      <c r="CW60" s="111"/>
      <c r="CX60" s="111"/>
      <c r="CY60" s="111"/>
      <c r="CZ60" s="111"/>
      <c r="DA60" s="115"/>
      <c r="DB60" s="111"/>
      <c r="DC60" s="118"/>
    </row>
    <row r="61" spans="1:107" s="119" customFormat="1" ht="26.25">
      <c r="A61" s="111">
        <v>21</v>
      </c>
      <c r="B61" s="111" t="s">
        <v>73</v>
      </c>
      <c r="C61" s="111">
        <v>9</v>
      </c>
      <c r="D61" s="111">
        <v>9</v>
      </c>
      <c r="E61" s="111">
        <v>136</v>
      </c>
      <c r="F61" s="123"/>
      <c r="G61" s="113">
        <v>16</v>
      </c>
      <c r="H61" s="111">
        <v>1</v>
      </c>
      <c r="I61" s="111"/>
      <c r="J61" s="111">
        <v>4464</v>
      </c>
      <c r="K61" s="111"/>
      <c r="L61" s="111"/>
      <c r="M61" s="111"/>
      <c r="N61" s="114">
        <v>0.3</v>
      </c>
      <c r="O61" s="111">
        <f t="shared" si="63"/>
        <v>1339.2</v>
      </c>
      <c r="P61" s="111">
        <f t="shared" si="64"/>
        <v>892.8000000000001</v>
      </c>
      <c r="Q61" s="115">
        <f>J61+K61+M61+O61+P61</f>
        <v>6696</v>
      </c>
      <c r="R61" s="111"/>
      <c r="S61" s="111">
        <v>0.5</v>
      </c>
      <c r="T61" s="111">
        <f>J61*95%</f>
        <v>4240.8</v>
      </c>
      <c r="U61" s="122">
        <f t="shared" si="65"/>
        <v>2120.4</v>
      </c>
      <c r="V61" s="111"/>
      <c r="W61" s="111"/>
      <c r="X61" s="111">
        <f>U61*W61</f>
        <v>0</v>
      </c>
      <c r="Y61" s="114">
        <v>0.3</v>
      </c>
      <c r="Z61" s="117">
        <f>(U61+X61)*Y61</f>
        <v>636.12</v>
      </c>
      <c r="AA61" s="117">
        <f t="shared" si="66"/>
        <v>424.08000000000004</v>
      </c>
      <c r="AB61" s="118">
        <f>U61+V61+X61+Z61+AA61</f>
        <v>3180.6</v>
      </c>
      <c r="AC61" s="111">
        <v>11</v>
      </c>
      <c r="AD61" s="111">
        <v>1</v>
      </c>
      <c r="AE61" s="111">
        <v>3152</v>
      </c>
      <c r="AF61" s="111">
        <f>AD61*AE61</f>
        <v>3152</v>
      </c>
      <c r="AG61" s="111"/>
      <c r="AH61" s="111"/>
      <c r="AI61" s="111">
        <f>AF61*AH61</f>
        <v>0</v>
      </c>
      <c r="AJ61" s="114">
        <v>0.1</v>
      </c>
      <c r="AK61" s="111">
        <f>(AF61+AI61)*AJ61</f>
        <v>315.20000000000005</v>
      </c>
      <c r="AL61" s="111">
        <f t="shared" si="67"/>
        <v>630.4000000000001</v>
      </c>
      <c r="AM61" s="115">
        <f>AF61+AG61+AI61+AK61+AL61</f>
        <v>4097.6</v>
      </c>
      <c r="AN61" s="111">
        <v>9</v>
      </c>
      <c r="AO61" s="111">
        <v>0.5</v>
      </c>
      <c r="AP61" s="111">
        <v>2768</v>
      </c>
      <c r="AQ61" s="111">
        <f>AO61*AP61</f>
        <v>1384</v>
      </c>
      <c r="AR61" s="111"/>
      <c r="AS61" s="111"/>
      <c r="AT61" s="111">
        <f>AQ61*AS61</f>
        <v>0</v>
      </c>
      <c r="AU61" s="114"/>
      <c r="AV61" s="111">
        <f>(AQ61+AT61)*AU61</f>
        <v>0</v>
      </c>
      <c r="AW61" s="117">
        <f>AQ61*50%</f>
        <v>692</v>
      </c>
      <c r="AX61" s="118">
        <f>AQ61+AR61+AT61+AV61+AW61</f>
        <v>2076</v>
      </c>
      <c r="AY61" s="111">
        <v>11</v>
      </c>
      <c r="AZ61" s="134">
        <v>0.5</v>
      </c>
      <c r="BA61" s="111">
        <v>3152</v>
      </c>
      <c r="BB61" s="111">
        <f>AZ61*BA61</f>
        <v>1576</v>
      </c>
      <c r="BC61" s="111"/>
      <c r="BD61" s="111"/>
      <c r="BE61" s="111">
        <f>BB61*BD61</f>
        <v>0</v>
      </c>
      <c r="BF61" s="114">
        <v>0.1</v>
      </c>
      <c r="BG61" s="111">
        <f>(BB61+BE61)*BF61</f>
        <v>157.60000000000002</v>
      </c>
      <c r="BH61" s="111">
        <f t="shared" si="69"/>
        <v>315.20000000000005</v>
      </c>
      <c r="BI61" s="115">
        <f>BB61+BC61+BE61+BG61+BH61</f>
        <v>2048.8</v>
      </c>
      <c r="BJ61" s="111">
        <v>11</v>
      </c>
      <c r="BK61" s="134">
        <v>0.5</v>
      </c>
      <c r="BL61" s="111">
        <v>3152</v>
      </c>
      <c r="BM61" s="111">
        <f>BK61*BL61</f>
        <v>1576</v>
      </c>
      <c r="BN61" s="111"/>
      <c r="BO61" s="111"/>
      <c r="BP61" s="111">
        <f>BM61*BO61</f>
        <v>0</v>
      </c>
      <c r="BQ61" s="114">
        <v>0.1</v>
      </c>
      <c r="BR61" s="111">
        <f>(BM61+BP61)*BQ61</f>
        <v>157.60000000000002</v>
      </c>
      <c r="BS61" s="111">
        <f t="shared" si="73"/>
        <v>315.20000000000005</v>
      </c>
      <c r="BT61" s="115">
        <f>BM61+BN61+BP61+BR61+BS61</f>
        <v>2048.8</v>
      </c>
      <c r="BU61" s="111"/>
      <c r="BV61" s="111"/>
      <c r="BW61" s="111"/>
      <c r="BX61" s="111">
        <f>BV61*BW61</f>
        <v>0</v>
      </c>
      <c r="BY61" s="111"/>
      <c r="BZ61" s="111"/>
      <c r="CA61" s="111">
        <f>BX61*BZ61</f>
        <v>0</v>
      </c>
      <c r="CB61" s="111"/>
      <c r="CC61" s="111">
        <f>(BX61+CA61)*CB61</f>
        <v>0</v>
      </c>
      <c r="CD61" s="111">
        <f>(BX61+CA61)*20%</f>
        <v>0</v>
      </c>
      <c r="CE61" s="115">
        <f>BX61+BY61+CA61+CC61+CD61</f>
        <v>0</v>
      </c>
      <c r="CF61" s="111">
        <v>12</v>
      </c>
      <c r="CG61" s="117">
        <v>0.8</v>
      </c>
      <c r="CH61" s="111">
        <v>3392</v>
      </c>
      <c r="CI61" s="111">
        <f t="shared" si="70"/>
        <v>2713.6000000000004</v>
      </c>
      <c r="CJ61" s="111"/>
      <c r="CK61" s="111"/>
      <c r="CL61" s="111">
        <f>CI61*CK61</f>
        <v>0</v>
      </c>
      <c r="CM61" s="114">
        <v>0.2</v>
      </c>
      <c r="CN61" s="111">
        <f t="shared" si="78"/>
        <v>542.7200000000001</v>
      </c>
      <c r="CO61" s="111">
        <f t="shared" si="80"/>
        <v>542.7200000000001</v>
      </c>
      <c r="CP61" s="115">
        <f t="shared" si="71"/>
        <v>3799.040000000001</v>
      </c>
      <c r="CQ61" s="111"/>
      <c r="CR61" s="111"/>
      <c r="CS61" s="111"/>
      <c r="CT61" s="111">
        <f>CR61*CS61</f>
        <v>0</v>
      </c>
      <c r="CU61" s="111"/>
      <c r="CV61" s="111"/>
      <c r="CW61" s="111">
        <f>CT61*CV61</f>
        <v>0</v>
      </c>
      <c r="CX61" s="111"/>
      <c r="CY61" s="111">
        <f>(CT61+CW61)*CX61</f>
        <v>0</v>
      </c>
      <c r="CZ61" s="111">
        <f>(CT61+CW61)*20%</f>
        <v>0</v>
      </c>
      <c r="DA61" s="115">
        <f>CT61+CU61+CW61+CY61+CZ61</f>
        <v>0</v>
      </c>
      <c r="DB61" s="111">
        <f>H61+S61+S62+AD61+AO61+AZ61+BK61+CG61+CG62+CG63+CG64</f>
        <v>7.1</v>
      </c>
      <c r="DC61" s="118">
        <f>Q61+AB61+AB62+AM61+AX61+BI61+BT61+CP61+CP62+CP63+CP64</f>
        <v>34228.04</v>
      </c>
    </row>
    <row r="62" spans="1:107" s="119" customFormat="1" ht="26.25">
      <c r="A62" s="111"/>
      <c r="B62" s="111"/>
      <c r="C62" s="111"/>
      <c r="D62" s="111"/>
      <c r="E62" s="111"/>
      <c r="F62" s="123"/>
      <c r="G62" s="113"/>
      <c r="H62" s="111"/>
      <c r="I62" s="111"/>
      <c r="J62" s="111"/>
      <c r="K62" s="111"/>
      <c r="L62" s="111"/>
      <c r="M62" s="111"/>
      <c r="N62" s="114"/>
      <c r="O62" s="111">
        <f t="shared" si="63"/>
        <v>0</v>
      </c>
      <c r="P62" s="111">
        <f t="shared" si="64"/>
        <v>0</v>
      </c>
      <c r="Q62" s="115"/>
      <c r="R62" s="111"/>
      <c r="S62" s="111">
        <v>0.5</v>
      </c>
      <c r="T62" s="111">
        <f>J61*95%</f>
        <v>4240.8</v>
      </c>
      <c r="U62" s="122">
        <f t="shared" si="65"/>
        <v>2120.4</v>
      </c>
      <c r="V62" s="111"/>
      <c r="W62" s="111"/>
      <c r="X62" s="111"/>
      <c r="Y62" s="114">
        <v>0.2</v>
      </c>
      <c r="Z62" s="117">
        <f>(U62+X62)*Y62</f>
        <v>424.08000000000004</v>
      </c>
      <c r="AA62" s="117">
        <f t="shared" si="66"/>
        <v>424.08000000000004</v>
      </c>
      <c r="AB62" s="118">
        <f>U62+V62+X62+Z62+AA62</f>
        <v>2968.56</v>
      </c>
      <c r="AC62" s="111"/>
      <c r="AD62" s="111"/>
      <c r="AE62" s="111"/>
      <c r="AF62" s="111"/>
      <c r="AG62" s="111"/>
      <c r="AH62" s="111"/>
      <c r="AI62" s="111"/>
      <c r="AJ62" s="111"/>
      <c r="AK62" s="111"/>
      <c r="AL62" s="111">
        <f t="shared" si="67"/>
        <v>0</v>
      </c>
      <c r="AM62" s="115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>
        <f t="shared" si="68"/>
        <v>0</v>
      </c>
      <c r="AX62" s="115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>
        <f t="shared" si="69"/>
        <v>0</v>
      </c>
      <c r="BI62" s="115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>
        <f t="shared" si="73"/>
        <v>0</v>
      </c>
      <c r="BT62" s="115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5"/>
      <c r="CF62" s="111">
        <v>11</v>
      </c>
      <c r="CG62" s="117">
        <v>0.8</v>
      </c>
      <c r="CH62" s="111">
        <v>3152</v>
      </c>
      <c r="CI62" s="111">
        <f t="shared" si="70"/>
        <v>2521.6000000000004</v>
      </c>
      <c r="CJ62" s="111"/>
      <c r="CK62" s="111"/>
      <c r="CL62" s="111"/>
      <c r="CM62" s="114">
        <v>0.2</v>
      </c>
      <c r="CN62" s="111">
        <f t="shared" si="78"/>
        <v>504.3200000000001</v>
      </c>
      <c r="CO62" s="111">
        <f t="shared" si="80"/>
        <v>504.3200000000001</v>
      </c>
      <c r="CP62" s="115">
        <f t="shared" si="71"/>
        <v>3530.2400000000007</v>
      </c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5"/>
      <c r="DB62" s="111"/>
      <c r="DC62" s="118"/>
    </row>
    <row r="63" spans="1:107" s="119" customFormat="1" ht="26.25">
      <c r="A63" s="111"/>
      <c r="B63" s="111"/>
      <c r="C63" s="111"/>
      <c r="D63" s="111"/>
      <c r="E63" s="111"/>
      <c r="F63" s="123"/>
      <c r="G63" s="113"/>
      <c r="H63" s="111"/>
      <c r="I63" s="111"/>
      <c r="J63" s="111"/>
      <c r="K63" s="111"/>
      <c r="L63" s="111"/>
      <c r="M63" s="111"/>
      <c r="N63" s="114"/>
      <c r="O63" s="111">
        <f t="shared" si="63"/>
        <v>0</v>
      </c>
      <c r="P63" s="111">
        <f t="shared" si="64"/>
        <v>0</v>
      </c>
      <c r="Q63" s="115"/>
      <c r="R63" s="111"/>
      <c r="S63" s="111"/>
      <c r="T63" s="111"/>
      <c r="U63" s="122"/>
      <c r="V63" s="111"/>
      <c r="W63" s="111"/>
      <c r="X63" s="111"/>
      <c r="Y63" s="114"/>
      <c r="Z63" s="117"/>
      <c r="AA63" s="111">
        <f t="shared" si="66"/>
        <v>0</v>
      </c>
      <c r="AB63" s="118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>
        <f t="shared" si="67"/>
        <v>0</v>
      </c>
      <c r="AM63" s="115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>
        <f t="shared" si="68"/>
        <v>0</v>
      </c>
      <c r="AX63" s="115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>
        <f t="shared" si="69"/>
        <v>0</v>
      </c>
      <c r="BI63" s="115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>
        <f t="shared" si="73"/>
        <v>0</v>
      </c>
      <c r="BT63" s="115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5"/>
      <c r="CF63" s="111">
        <v>10</v>
      </c>
      <c r="CG63" s="120">
        <v>0.5</v>
      </c>
      <c r="CH63" s="111">
        <v>3152</v>
      </c>
      <c r="CI63" s="111">
        <f t="shared" si="70"/>
        <v>1576</v>
      </c>
      <c r="CJ63" s="111"/>
      <c r="CK63" s="111"/>
      <c r="CL63" s="111"/>
      <c r="CM63" s="114"/>
      <c r="CN63" s="111">
        <f t="shared" si="78"/>
        <v>0</v>
      </c>
      <c r="CO63" s="111">
        <f t="shared" si="80"/>
        <v>315.20000000000005</v>
      </c>
      <c r="CP63" s="115">
        <f t="shared" si="71"/>
        <v>1891.2</v>
      </c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5"/>
      <c r="DB63" s="111"/>
      <c r="DC63" s="118"/>
    </row>
    <row r="64" spans="1:107" s="119" customFormat="1" ht="26.25">
      <c r="A64" s="111"/>
      <c r="B64" s="111"/>
      <c r="C64" s="111"/>
      <c r="D64" s="111"/>
      <c r="E64" s="111"/>
      <c r="F64" s="123"/>
      <c r="G64" s="113"/>
      <c r="H64" s="111"/>
      <c r="I64" s="111"/>
      <c r="J64" s="111"/>
      <c r="K64" s="111"/>
      <c r="L64" s="111"/>
      <c r="M64" s="111"/>
      <c r="N64" s="114"/>
      <c r="O64" s="111">
        <f t="shared" si="63"/>
        <v>0</v>
      </c>
      <c r="P64" s="111">
        <f t="shared" si="64"/>
        <v>0</v>
      </c>
      <c r="Q64" s="115"/>
      <c r="R64" s="111"/>
      <c r="S64" s="111"/>
      <c r="T64" s="111"/>
      <c r="U64" s="122"/>
      <c r="V64" s="111"/>
      <c r="W64" s="111"/>
      <c r="X64" s="111"/>
      <c r="Y64" s="114"/>
      <c r="Z64" s="117"/>
      <c r="AA64" s="111">
        <f t="shared" si="66"/>
        <v>0</v>
      </c>
      <c r="AB64" s="118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>
        <f t="shared" si="67"/>
        <v>0</v>
      </c>
      <c r="AM64" s="115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>
        <f t="shared" si="68"/>
        <v>0</v>
      </c>
      <c r="AX64" s="115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>
        <f t="shared" si="69"/>
        <v>0</v>
      </c>
      <c r="BI64" s="115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>
        <f t="shared" si="73"/>
        <v>0</v>
      </c>
      <c r="BT64" s="115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5"/>
      <c r="CF64" s="111">
        <v>11</v>
      </c>
      <c r="CG64" s="120">
        <v>0.5</v>
      </c>
      <c r="CH64" s="111">
        <v>3152</v>
      </c>
      <c r="CI64" s="111">
        <f t="shared" si="70"/>
        <v>1576</v>
      </c>
      <c r="CJ64" s="111"/>
      <c r="CK64" s="111"/>
      <c r="CL64" s="111"/>
      <c r="CM64" s="114"/>
      <c r="CN64" s="111"/>
      <c r="CO64" s="117">
        <f t="shared" si="80"/>
        <v>315.20000000000005</v>
      </c>
      <c r="CP64" s="118">
        <f t="shared" si="71"/>
        <v>1891.2</v>
      </c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5"/>
      <c r="DB64" s="111"/>
      <c r="DC64" s="118"/>
    </row>
    <row r="65" spans="1:107" s="119" customFormat="1" ht="34.5" customHeight="1">
      <c r="A65" s="111">
        <v>22</v>
      </c>
      <c r="B65" s="111" t="s">
        <v>41</v>
      </c>
      <c r="C65" s="111">
        <v>3</v>
      </c>
      <c r="D65" s="111">
        <v>3</v>
      </c>
      <c r="E65" s="111">
        <v>26</v>
      </c>
      <c r="F65" s="112"/>
      <c r="G65" s="113">
        <v>14</v>
      </c>
      <c r="H65" s="111">
        <v>1</v>
      </c>
      <c r="I65" s="111"/>
      <c r="J65" s="111">
        <v>3872</v>
      </c>
      <c r="K65" s="111"/>
      <c r="L65" s="111"/>
      <c r="M65" s="111"/>
      <c r="N65" s="114">
        <v>0.3</v>
      </c>
      <c r="O65" s="111">
        <f t="shared" si="63"/>
        <v>1161.6</v>
      </c>
      <c r="P65" s="111">
        <f t="shared" si="64"/>
        <v>774.4000000000001</v>
      </c>
      <c r="Q65" s="115">
        <f>J65+K65+M65+O65+P65</f>
        <v>5808</v>
      </c>
      <c r="R65" s="111"/>
      <c r="S65" s="111"/>
      <c r="T65" s="111"/>
      <c r="U65" s="111">
        <f t="shared" si="65"/>
        <v>0</v>
      </c>
      <c r="V65" s="111"/>
      <c r="W65" s="111"/>
      <c r="X65" s="111">
        <f>U65*W65</f>
        <v>0</v>
      </c>
      <c r="Y65" s="111"/>
      <c r="Z65" s="111">
        <f>(U65+X65)*Y65</f>
        <v>0</v>
      </c>
      <c r="AA65" s="111">
        <f t="shared" si="66"/>
        <v>0</v>
      </c>
      <c r="AB65" s="115">
        <f>U65+V65+X65+Z65+AA65</f>
        <v>0</v>
      </c>
      <c r="AC65" s="111"/>
      <c r="AD65" s="111"/>
      <c r="AE65" s="111"/>
      <c r="AF65" s="111">
        <f>AD65*AE65</f>
        <v>0</v>
      </c>
      <c r="AG65" s="111"/>
      <c r="AH65" s="111"/>
      <c r="AI65" s="111">
        <f>AF65*AH65</f>
        <v>0</v>
      </c>
      <c r="AJ65" s="111"/>
      <c r="AK65" s="111">
        <f>(AF65+AI65)*AJ65</f>
        <v>0</v>
      </c>
      <c r="AL65" s="111">
        <f t="shared" si="67"/>
        <v>0</v>
      </c>
      <c r="AM65" s="115">
        <f>AF65+AG65+AI65+AK65+AL65</f>
        <v>0</v>
      </c>
      <c r="AN65" s="111"/>
      <c r="AO65" s="111"/>
      <c r="AP65" s="111"/>
      <c r="AQ65" s="111">
        <f>AO65*AP65</f>
        <v>0</v>
      </c>
      <c r="AR65" s="111"/>
      <c r="AS65" s="111"/>
      <c r="AT65" s="111">
        <f>AQ65*AS65</f>
        <v>0</v>
      </c>
      <c r="AU65" s="111"/>
      <c r="AV65" s="111">
        <f>(AQ65+AT65)*AU65</f>
        <v>0</v>
      </c>
      <c r="AW65" s="111">
        <f t="shared" si="68"/>
        <v>0</v>
      </c>
      <c r="AX65" s="115">
        <f>AQ65+AR65+AT65+AV65+AW65</f>
        <v>0</v>
      </c>
      <c r="AY65" s="111">
        <v>13</v>
      </c>
      <c r="AZ65" s="111">
        <v>0.25</v>
      </c>
      <c r="BA65" s="111">
        <v>3632</v>
      </c>
      <c r="BB65" s="111">
        <f>AZ65*BA65</f>
        <v>908</v>
      </c>
      <c r="BC65" s="111"/>
      <c r="BD65" s="111"/>
      <c r="BE65" s="111">
        <f>BB65*BD65</f>
        <v>0</v>
      </c>
      <c r="BF65" s="114">
        <v>0.3</v>
      </c>
      <c r="BG65" s="117">
        <f>(BB65+BE65)*BF65</f>
        <v>272.4</v>
      </c>
      <c r="BH65" s="111">
        <f t="shared" si="69"/>
        <v>181.60000000000002</v>
      </c>
      <c r="BI65" s="118">
        <f>BB65+BC65+BE65+BG65+BH65</f>
        <v>1362</v>
      </c>
      <c r="BJ65" s="111">
        <v>11</v>
      </c>
      <c r="BK65" s="111">
        <v>0.25</v>
      </c>
      <c r="BL65" s="111">
        <v>3152</v>
      </c>
      <c r="BM65" s="111">
        <f>BK65*BL65</f>
        <v>788</v>
      </c>
      <c r="BN65" s="111"/>
      <c r="BO65" s="111"/>
      <c r="BP65" s="111">
        <f>BM65*BO65</f>
        <v>0</v>
      </c>
      <c r="BQ65" s="114">
        <v>0.3</v>
      </c>
      <c r="BR65" s="117">
        <f>(BM65+BP65)*BQ65</f>
        <v>236.39999999999998</v>
      </c>
      <c r="BS65" s="111">
        <f t="shared" si="73"/>
        <v>157.60000000000002</v>
      </c>
      <c r="BT65" s="118">
        <f>BM65+BN65+BP65+BR65+BS65</f>
        <v>1182</v>
      </c>
      <c r="BU65" s="111">
        <v>10</v>
      </c>
      <c r="BV65" s="111">
        <v>0.25</v>
      </c>
      <c r="BW65" s="111">
        <v>2912</v>
      </c>
      <c r="BX65" s="111">
        <f>BV65*BW65</f>
        <v>728</v>
      </c>
      <c r="BY65" s="111"/>
      <c r="BZ65" s="111"/>
      <c r="CA65" s="111">
        <f>BX65*BZ65</f>
        <v>0</v>
      </c>
      <c r="CB65" s="114">
        <v>0.2</v>
      </c>
      <c r="CC65" s="111">
        <f>(BX65+CA65)*CB65</f>
        <v>145.6</v>
      </c>
      <c r="CD65" s="111">
        <f>(BX65+CA65)*20%</f>
        <v>145.6</v>
      </c>
      <c r="CE65" s="115">
        <f>BX65+BY65+CA65+CC65+CD65</f>
        <v>1019.2</v>
      </c>
      <c r="CF65" s="111"/>
      <c r="CG65" s="111"/>
      <c r="CH65" s="111"/>
      <c r="CI65" s="111">
        <f t="shared" si="70"/>
        <v>0</v>
      </c>
      <c r="CJ65" s="111"/>
      <c r="CK65" s="111"/>
      <c r="CL65" s="111">
        <f>CI65*CK65</f>
        <v>0</v>
      </c>
      <c r="CM65" s="111"/>
      <c r="CN65" s="111">
        <f>(CI65+CL65)*CM65</f>
        <v>0</v>
      </c>
      <c r="CO65" s="111">
        <f t="shared" si="80"/>
        <v>0</v>
      </c>
      <c r="CP65" s="115">
        <f t="shared" si="71"/>
        <v>0</v>
      </c>
      <c r="CQ65" s="111">
        <v>11</v>
      </c>
      <c r="CR65" s="111">
        <v>0.875</v>
      </c>
      <c r="CS65" s="111">
        <v>3152</v>
      </c>
      <c r="CT65" s="117">
        <f>CR65*CS65</f>
        <v>2758</v>
      </c>
      <c r="CU65" s="111"/>
      <c r="CV65" s="111"/>
      <c r="CW65" s="111">
        <f>CT65*CV65</f>
        <v>0</v>
      </c>
      <c r="CX65" s="114">
        <v>0.2</v>
      </c>
      <c r="CY65" s="117">
        <f>(CT65+CW65)*CX65</f>
        <v>551.6</v>
      </c>
      <c r="CZ65" s="117">
        <f>(CT65+CW65)*20%</f>
        <v>551.6</v>
      </c>
      <c r="DA65" s="118">
        <f>CT65+CU65+CW65+CY65+CZ65</f>
        <v>3861.2</v>
      </c>
      <c r="DB65" s="111">
        <f>H65+AZ65+BK65+BV65+CR65+CR66</f>
        <v>3.5</v>
      </c>
      <c r="DC65" s="118">
        <f>Q65+BI65+BT65+CE65+DA65+DA66</f>
        <v>17093.600000000002</v>
      </c>
    </row>
    <row r="66" spans="1:107" s="119" customFormat="1" ht="34.5" customHeight="1">
      <c r="A66" s="111"/>
      <c r="B66" s="111"/>
      <c r="C66" s="111"/>
      <c r="D66" s="111"/>
      <c r="E66" s="111"/>
      <c r="F66" s="112"/>
      <c r="G66" s="113"/>
      <c r="H66" s="111"/>
      <c r="I66" s="111"/>
      <c r="J66" s="111"/>
      <c r="K66" s="111"/>
      <c r="L66" s="111"/>
      <c r="M66" s="111"/>
      <c r="N66" s="114"/>
      <c r="O66" s="111">
        <f t="shared" si="63"/>
        <v>0</v>
      </c>
      <c r="P66" s="111">
        <f t="shared" si="64"/>
        <v>0</v>
      </c>
      <c r="Q66" s="115"/>
      <c r="R66" s="111"/>
      <c r="S66" s="111"/>
      <c r="T66" s="111"/>
      <c r="U66" s="111"/>
      <c r="V66" s="111"/>
      <c r="W66" s="111"/>
      <c r="X66" s="111"/>
      <c r="Y66" s="111"/>
      <c r="Z66" s="111"/>
      <c r="AA66" s="111">
        <f t="shared" si="66"/>
        <v>0</v>
      </c>
      <c r="AB66" s="115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>
        <f t="shared" si="67"/>
        <v>0</v>
      </c>
      <c r="AM66" s="115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>
        <f t="shared" si="68"/>
        <v>0</v>
      </c>
      <c r="AX66" s="115"/>
      <c r="AY66" s="111"/>
      <c r="AZ66" s="111"/>
      <c r="BA66" s="111"/>
      <c r="BB66" s="111"/>
      <c r="BC66" s="111"/>
      <c r="BD66" s="111"/>
      <c r="BE66" s="111"/>
      <c r="BF66" s="114"/>
      <c r="BG66" s="111"/>
      <c r="BH66" s="111">
        <f t="shared" si="69"/>
        <v>0</v>
      </c>
      <c r="BI66" s="118"/>
      <c r="BJ66" s="111"/>
      <c r="BK66" s="111"/>
      <c r="BL66" s="111"/>
      <c r="BM66" s="111"/>
      <c r="BN66" s="111"/>
      <c r="BO66" s="111"/>
      <c r="BP66" s="111"/>
      <c r="BQ66" s="114"/>
      <c r="BR66" s="117"/>
      <c r="BS66" s="111">
        <f t="shared" si="73"/>
        <v>0</v>
      </c>
      <c r="BT66" s="118"/>
      <c r="BU66" s="111"/>
      <c r="BV66" s="111"/>
      <c r="BW66" s="111"/>
      <c r="BX66" s="111"/>
      <c r="BY66" s="111"/>
      <c r="BZ66" s="111"/>
      <c r="CA66" s="111"/>
      <c r="CB66" s="114"/>
      <c r="CC66" s="111"/>
      <c r="CD66" s="111"/>
      <c r="CE66" s="115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5"/>
      <c r="CQ66" s="111">
        <v>11</v>
      </c>
      <c r="CR66" s="111">
        <v>0.875</v>
      </c>
      <c r="CS66" s="111">
        <v>3152</v>
      </c>
      <c r="CT66" s="117">
        <f>CR66*CS66</f>
        <v>2758</v>
      </c>
      <c r="CU66" s="111"/>
      <c r="CV66" s="111"/>
      <c r="CW66" s="111"/>
      <c r="CX66" s="114">
        <v>0.2</v>
      </c>
      <c r="CY66" s="117">
        <f>(CT66+CW66)*CX66</f>
        <v>551.6</v>
      </c>
      <c r="CZ66" s="117">
        <f>(CT66+CW66)*20%</f>
        <v>551.6</v>
      </c>
      <c r="DA66" s="118">
        <f>CT66+CU66+CW66+CY66+CZ66</f>
        <v>3861.2</v>
      </c>
      <c r="DB66" s="111"/>
      <c r="DC66" s="118"/>
    </row>
    <row r="67" spans="1:107" s="119" customFormat="1" ht="26.25">
      <c r="A67" s="111">
        <v>23</v>
      </c>
      <c r="B67" s="111" t="s">
        <v>74</v>
      </c>
      <c r="C67" s="111">
        <v>9</v>
      </c>
      <c r="D67" s="111">
        <v>9</v>
      </c>
      <c r="E67" s="111">
        <v>78</v>
      </c>
      <c r="F67" s="123"/>
      <c r="G67" s="113">
        <v>15</v>
      </c>
      <c r="H67" s="111">
        <v>1</v>
      </c>
      <c r="I67" s="111"/>
      <c r="J67" s="111">
        <v>4128</v>
      </c>
      <c r="K67" s="111"/>
      <c r="L67" s="111"/>
      <c r="M67" s="111"/>
      <c r="N67" s="114">
        <v>0.3</v>
      </c>
      <c r="O67" s="111">
        <f t="shared" si="63"/>
        <v>1238.3999999999999</v>
      </c>
      <c r="P67" s="111">
        <f t="shared" si="64"/>
        <v>825.6</v>
      </c>
      <c r="Q67" s="115">
        <f>J67+K67+M67+O67+P67</f>
        <v>6192</v>
      </c>
      <c r="R67" s="111"/>
      <c r="S67" s="111">
        <v>0.5</v>
      </c>
      <c r="T67" s="111">
        <f>J67*95%</f>
        <v>3921.6</v>
      </c>
      <c r="U67" s="122">
        <f t="shared" si="65"/>
        <v>1960.8</v>
      </c>
      <c r="V67" s="111"/>
      <c r="W67" s="111"/>
      <c r="X67" s="111">
        <f>U67*W67</f>
        <v>0</v>
      </c>
      <c r="Y67" s="114">
        <v>0.3</v>
      </c>
      <c r="Z67" s="117">
        <f>(U67+X67)*Y67</f>
        <v>588.24</v>
      </c>
      <c r="AA67" s="111">
        <f t="shared" si="66"/>
        <v>392.16</v>
      </c>
      <c r="AB67" s="118">
        <f>U67+V67+X67+Z67+AA67</f>
        <v>2941.2</v>
      </c>
      <c r="AC67" s="111">
        <v>11</v>
      </c>
      <c r="AD67" s="111">
        <v>1</v>
      </c>
      <c r="AE67" s="111">
        <v>3152</v>
      </c>
      <c r="AF67" s="111">
        <f>AD67*AE67</f>
        <v>3152</v>
      </c>
      <c r="AG67" s="111"/>
      <c r="AH67" s="111"/>
      <c r="AI67" s="111">
        <f>AF67*AH67</f>
        <v>0</v>
      </c>
      <c r="AJ67" s="114">
        <v>0.3</v>
      </c>
      <c r="AK67" s="111">
        <f>(AF67+AI67)*AJ67</f>
        <v>945.5999999999999</v>
      </c>
      <c r="AL67" s="111">
        <f t="shared" si="67"/>
        <v>630.4000000000001</v>
      </c>
      <c r="AM67" s="115">
        <f>AF67+AG67+AI67+AK67+AL67</f>
        <v>4728</v>
      </c>
      <c r="AN67" s="111">
        <v>9</v>
      </c>
      <c r="AO67" s="111">
        <v>0.5</v>
      </c>
      <c r="AP67" s="111">
        <v>2768</v>
      </c>
      <c r="AQ67" s="111">
        <f>AO67*AP67</f>
        <v>1384</v>
      </c>
      <c r="AR67" s="111"/>
      <c r="AS67" s="111"/>
      <c r="AT67" s="111">
        <f>AQ67*AS67</f>
        <v>0</v>
      </c>
      <c r="AU67" s="114"/>
      <c r="AV67" s="111">
        <f>(AQ67+AT67)*AU67</f>
        <v>0</v>
      </c>
      <c r="AW67" s="111">
        <f t="shared" si="68"/>
        <v>692</v>
      </c>
      <c r="AX67" s="115">
        <f>AQ67+AR67+AT67+AV67+AW67</f>
        <v>2076</v>
      </c>
      <c r="AY67" s="111">
        <v>11</v>
      </c>
      <c r="AZ67" s="116">
        <v>0.25</v>
      </c>
      <c r="BA67" s="111">
        <v>3152</v>
      </c>
      <c r="BB67" s="111">
        <f>AZ67*BA67</f>
        <v>788</v>
      </c>
      <c r="BC67" s="111"/>
      <c r="BD67" s="111"/>
      <c r="BE67" s="111">
        <f>BB67*BD67</f>
        <v>0</v>
      </c>
      <c r="BF67" s="114">
        <v>0.1</v>
      </c>
      <c r="BG67" s="111">
        <f>(BB67+BE67)*BF67</f>
        <v>78.80000000000001</v>
      </c>
      <c r="BH67" s="111">
        <f t="shared" si="69"/>
        <v>157.60000000000002</v>
      </c>
      <c r="BI67" s="115">
        <f>BB67+BC67+BE67+BG67+BH67</f>
        <v>1024.4</v>
      </c>
      <c r="BJ67" s="111">
        <v>11</v>
      </c>
      <c r="BK67" s="116">
        <v>0.25</v>
      </c>
      <c r="BL67" s="111">
        <v>3152</v>
      </c>
      <c r="BM67" s="111">
        <f>BK67*BL67</f>
        <v>788</v>
      </c>
      <c r="BN67" s="111"/>
      <c r="BO67" s="111"/>
      <c r="BP67" s="111">
        <f>BM67*BO67</f>
        <v>0</v>
      </c>
      <c r="BQ67" s="114">
        <v>0.1</v>
      </c>
      <c r="BR67" s="111">
        <f>(BM67+BP67)*BQ67</f>
        <v>78.80000000000001</v>
      </c>
      <c r="BS67" s="111">
        <f t="shared" si="73"/>
        <v>157.60000000000002</v>
      </c>
      <c r="BT67" s="115">
        <f>BM67+BN67+BP67+BR67+BS67</f>
        <v>1024.4</v>
      </c>
      <c r="BU67" s="111"/>
      <c r="BV67" s="111"/>
      <c r="BW67" s="111"/>
      <c r="BX67" s="111">
        <f>BV67*BW67</f>
        <v>0</v>
      </c>
      <c r="BY67" s="111"/>
      <c r="BZ67" s="111"/>
      <c r="CA67" s="111">
        <f>BX67*BZ67</f>
        <v>0</v>
      </c>
      <c r="CB67" s="111"/>
      <c r="CC67" s="111">
        <f>(BX67+CA67)*CB67</f>
        <v>0</v>
      </c>
      <c r="CD67" s="111">
        <f>(BX67+CA67)*20%</f>
        <v>0</v>
      </c>
      <c r="CE67" s="115">
        <f>BX67+BY67+CA67+CC67+CD67</f>
        <v>0</v>
      </c>
      <c r="CF67" s="111">
        <v>11</v>
      </c>
      <c r="CG67" s="111">
        <v>0.5</v>
      </c>
      <c r="CH67" s="111">
        <v>3152</v>
      </c>
      <c r="CI67" s="111">
        <f t="shared" si="70"/>
        <v>1576</v>
      </c>
      <c r="CJ67" s="111"/>
      <c r="CK67" s="111"/>
      <c r="CL67" s="111">
        <f>CI67*CK67</f>
        <v>0</v>
      </c>
      <c r="CM67" s="114">
        <v>0.3</v>
      </c>
      <c r="CN67" s="117">
        <f>(CI67+CL67)*CM67</f>
        <v>472.79999999999995</v>
      </c>
      <c r="CO67" s="111">
        <f>(CI67+CL67)*20%</f>
        <v>315.20000000000005</v>
      </c>
      <c r="CP67" s="118">
        <f t="shared" si="71"/>
        <v>2364</v>
      </c>
      <c r="CQ67" s="111"/>
      <c r="CR67" s="111"/>
      <c r="CS67" s="111"/>
      <c r="CT67" s="111">
        <f>CR67*CS67</f>
        <v>0</v>
      </c>
      <c r="CU67" s="111"/>
      <c r="CV67" s="111"/>
      <c r="CW67" s="111">
        <f>CT67*CV67</f>
        <v>0</v>
      </c>
      <c r="CX67" s="111"/>
      <c r="CY67" s="111">
        <f>(CT67+CW67)*CX67</f>
        <v>0</v>
      </c>
      <c r="CZ67" s="111">
        <f>(CT67+CW67)*20%</f>
        <v>0</v>
      </c>
      <c r="DA67" s="115">
        <f>CT67+CU67+CW67+CY67+CZ67</f>
        <v>0</v>
      </c>
      <c r="DB67" s="111">
        <f>H67+S67+S68+AD67+AO67+AZ67+BK67+CG67+CG68+CG69+CG70</f>
        <v>5</v>
      </c>
      <c r="DC67" s="118">
        <f>Q67+AB67+AB68+AM67+AX67+BI67+BT67+CP67+CP68+CP69+CP70</f>
        <v>25263.040000000005</v>
      </c>
    </row>
    <row r="68" spans="1:107" s="119" customFormat="1" ht="26.25">
      <c r="A68" s="111"/>
      <c r="B68" s="111"/>
      <c r="C68" s="111"/>
      <c r="D68" s="111"/>
      <c r="E68" s="111"/>
      <c r="F68" s="123"/>
      <c r="G68" s="113"/>
      <c r="H68" s="111"/>
      <c r="I68" s="111"/>
      <c r="J68" s="111"/>
      <c r="K68" s="111"/>
      <c r="L68" s="111"/>
      <c r="M68" s="111"/>
      <c r="N68" s="114"/>
      <c r="O68" s="111">
        <f t="shared" si="63"/>
        <v>0</v>
      </c>
      <c r="P68" s="111">
        <f t="shared" si="64"/>
        <v>0</v>
      </c>
      <c r="Q68" s="115"/>
      <c r="R68" s="111"/>
      <c r="S68" s="111">
        <v>0.5</v>
      </c>
      <c r="T68" s="111">
        <f>J67*95%</f>
        <v>3921.6</v>
      </c>
      <c r="U68" s="122">
        <f t="shared" si="65"/>
        <v>1960.8</v>
      </c>
      <c r="V68" s="111"/>
      <c r="W68" s="111"/>
      <c r="X68" s="111"/>
      <c r="Y68" s="114">
        <v>0.1</v>
      </c>
      <c r="Z68" s="117">
        <f>(U68+X68)*Y68</f>
        <v>196.08</v>
      </c>
      <c r="AA68" s="111">
        <f t="shared" si="66"/>
        <v>392.16</v>
      </c>
      <c r="AB68" s="118">
        <f>U68+V68+X68+Z68+AA68</f>
        <v>2549.04</v>
      </c>
      <c r="AC68" s="111"/>
      <c r="AD68" s="111"/>
      <c r="AE68" s="111"/>
      <c r="AF68" s="111"/>
      <c r="AG68" s="111"/>
      <c r="AH68" s="111"/>
      <c r="AI68" s="111"/>
      <c r="AJ68" s="111"/>
      <c r="AK68" s="111"/>
      <c r="AL68" s="111">
        <f t="shared" si="67"/>
        <v>0</v>
      </c>
      <c r="AM68" s="115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>
        <f t="shared" si="68"/>
        <v>0</v>
      </c>
      <c r="AX68" s="115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>
        <f t="shared" si="69"/>
        <v>0</v>
      </c>
      <c r="BI68" s="115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>
        <f t="shared" si="73"/>
        <v>0</v>
      </c>
      <c r="BT68" s="115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5"/>
      <c r="CF68" s="111">
        <v>11</v>
      </c>
      <c r="CG68" s="111">
        <v>0.5</v>
      </c>
      <c r="CH68" s="111">
        <v>3152</v>
      </c>
      <c r="CI68" s="111">
        <f t="shared" si="70"/>
        <v>1576</v>
      </c>
      <c r="CJ68" s="111"/>
      <c r="CK68" s="111"/>
      <c r="CL68" s="111"/>
      <c r="CM68" s="114">
        <v>0.3</v>
      </c>
      <c r="CN68" s="117">
        <f>(CI68+CL68)*CM68</f>
        <v>472.79999999999995</v>
      </c>
      <c r="CO68" s="111">
        <f>(CI68+CL68)*20%</f>
        <v>315.20000000000005</v>
      </c>
      <c r="CP68" s="118">
        <f>CI68+CJ68+CL68+CN68+CO68</f>
        <v>2364</v>
      </c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5"/>
      <c r="DB68" s="111"/>
      <c r="DC68" s="118"/>
    </row>
    <row r="69" spans="1:107" s="119" customFormat="1" ht="26.25">
      <c r="A69" s="111"/>
      <c r="B69" s="111"/>
      <c r="C69" s="111"/>
      <c r="D69" s="111"/>
      <c r="E69" s="111"/>
      <c r="F69" s="123"/>
      <c r="G69" s="113"/>
      <c r="H69" s="111"/>
      <c r="I69" s="111"/>
      <c r="J69" s="111"/>
      <c r="K69" s="111"/>
      <c r="L69" s="111"/>
      <c r="M69" s="111"/>
      <c r="N69" s="114"/>
      <c r="O69" s="111">
        <f t="shared" si="63"/>
        <v>0</v>
      </c>
      <c r="P69" s="111">
        <f t="shared" si="64"/>
        <v>0</v>
      </c>
      <c r="Q69" s="115"/>
      <c r="R69" s="111"/>
      <c r="S69" s="111"/>
      <c r="T69" s="111"/>
      <c r="U69" s="122"/>
      <c r="V69" s="111"/>
      <c r="W69" s="111"/>
      <c r="X69" s="111"/>
      <c r="Y69" s="114"/>
      <c r="Z69" s="117"/>
      <c r="AA69" s="111">
        <f t="shared" si="66"/>
        <v>0</v>
      </c>
      <c r="AB69" s="118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>
        <f t="shared" si="67"/>
        <v>0</v>
      </c>
      <c r="AM69" s="115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>
        <f t="shared" si="68"/>
        <v>0</v>
      </c>
      <c r="AX69" s="115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>
        <f t="shared" si="69"/>
        <v>0</v>
      </c>
      <c r="BI69" s="115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>
        <f t="shared" si="73"/>
        <v>0</v>
      </c>
      <c r="BT69" s="115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5"/>
      <c r="CF69" s="111"/>
      <c r="CG69" s="120"/>
      <c r="CH69" s="111"/>
      <c r="CI69" s="111"/>
      <c r="CJ69" s="111"/>
      <c r="CK69" s="111"/>
      <c r="CL69" s="111"/>
      <c r="CM69" s="114"/>
      <c r="CN69" s="117">
        <f>(CI69+CL69)*CM69</f>
        <v>0</v>
      </c>
      <c r="CO69" s="111">
        <f>(CI69+CL69)*10%</f>
        <v>0</v>
      </c>
      <c r="CP69" s="118">
        <f>CI69+CJ69+CL69+CN69+CO69</f>
        <v>0</v>
      </c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5"/>
      <c r="DB69" s="111"/>
      <c r="DC69" s="118"/>
    </row>
    <row r="70" spans="1:107" s="119" customFormat="1" ht="26.25">
      <c r="A70" s="111"/>
      <c r="B70" s="111"/>
      <c r="C70" s="111"/>
      <c r="D70" s="111"/>
      <c r="E70" s="111"/>
      <c r="F70" s="123"/>
      <c r="G70" s="113"/>
      <c r="H70" s="111"/>
      <c r="I70" s="111"/>
      <c r="J70" s="111"/>
      <c r="K70" s="111"/>
      <c r="L70" s="111"/>
      <c r="M70" s="111"/>
      <c r="N70" s="114"/>
      <c r="O70" s="111">
        <f t="shared" si="63"/>
        <v>0</v>
      </c>
      <c r="P70" s="111">
        <f t="shared" si="64"/>
        <v>0</v>
      </c>
      <c r="Q70" s="115"/>
      <c r="R70" s="111"/>
      <c r="S70" s="111"/>
      <c r="T70" s="111"/>
      <c r="U70" s="122"/>
      <c r="V70" s="111"/>
      <c r="W70" s="111"/>
      <c r="X70" s="111"/>
      <c r="Y70" s="114"/>
      <c r="Z70" s="117"/>
      <c r="AA70" s="111">
        <f t="shared" si="66"/>
        <v>0</v>
      </c>
      <c r="AB70" s="118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>
        <f t="shared" si="67"/>
        <v>0</v>
      </c>
      <c r="AM70" s="115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>
        <f t="shared" si="68"/>
        <v>0</v>
      </c>
      <c r="AX70" s="115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>
        <f t="shared" si="69"/>
        <v>0</v>
      </c>
      <c r="BI70" s="115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>
        <f t="shared" si="73"/>
        <v>0</v>
      </c>
      <c r="BT70" s="115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5"/>
      <c r="CF70" s="111"/>
      <c r="CG70" s="120"/>
      <c r="CH70" s="111"/>
      <c r="CI70" s="111"/>
      <c r="CJ70" s="111"/>
      <c r="CK70" s="111"/>
      <c r="CL70" s="111"/>
      <c r="CM70" s="114"/>
      <c r="CN70" s="117">
        <f>(CI70+CL70)*CM70</f>
        <v>0</v>
      </c>
      <c r="CO70" s="111">
        <f>(CI70+CL70)*20%</f>
        <v>0</v>
      </c>
      <c r="CP70" s="118">
        <f>CI70+CJ70+CL70+CN70+CO70</f>
        <v>0</v>
      </c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5"/>
      <c r="DB70" s="111"/>
      <c r="DC70" s="118"/>
    </row>
    <row r="71" spans="1:107" s="119" customFormat="1" ht="26.25">
      <c r="A71" s="111">
        <v>24</v>
      </c>
      <c r="B71" s="111" t="s">
        <v>75</v>
      </c>
      <c r="C71" s="111">
        <v>11</v>
      </c>
      <c r="D71" s="111">
        <v>11</v>
      </c>
      <c r="E71" s="111">
        <v>103</v>
      </c>
      <c r="F71" s="112"/>
      <c r="G71" s="113">
        <v>16</v>
      </c>
      <c r="H71" s="111">
        <v>1</v>
      </c>
      <c r="I71" s="111"/>
      <c r="J71" s="111">
        <v>4464</v>
      </c>
      <c r="K71" s="111"/>
      <c r="L71" s="111"/>
      <c r="M71" s="111"/>
      <c r="N71" s="114">
        <v>0.3</v>
      </c>
      <c r="O71" s="111">
        <f t="shared" si="63"/>
        <v>1339.2</v>
      </c>
      <c r="P71" s="111">
        <f t="shared" si="64"/>
        <v>892.8000000000001</v>
      </c>
      <c r="Q71" s="115">
        <f>J71+K71+M71+O71+P71</f>
        <v>6696</v>
      </c>
      <c r="R71" s="111"/>
      <c r="S71" s="111">
        <v>1</v>
      </c>
      <c r="T71" s="111">
        <f>J71*95%</f>
        <v>4240.8</v>
      </c>
      <c r="U71" s="111">
        <f t="shared" si="65"/>
        <v>4240.8</v>
      </c>
      <c r="V71" s="111"/>
      <c r="W71" s="111"/>
      <c r="X71" s="111">
        <f>U71*W71</f>
        <v>0</v>
      </c>
      <c r="Y71" s="114">
        <v>0.3</v>
      </c>
      <c r="Z71" s="117">
        <f>(U71+X71)*Y71</f>
        <v>1272.24</v>
      </c>
      <c r="AA71" s="111">
        <f t="shared" si="66"/>
        <v>848.1600000000001</v>
      </c>
      <c r="AB71" s="118">
        <f>U71+V71+X71+Z71+AA71</f>
        <v>6361.2</v>
      </c>
      <c r="AC71" s="111">
        <v>11</v>
      </c>
      <c r="AD71" s="111">
        <v>1</v>
      </c>
      <c r="AE71" s="111">
        <v>3152</v>
      </c>
      <c r="AF71" s="111">
        <f>AD71*AE71</f>
        <v>3152</v>
      </c>
      <c r="AG71" s="111"/>
      <c r="AH71" s="111"/>
      <c r="AI71" s="111">
        <f>AF71*AH71</f>
        <v>0</v>
      </c>
      <c r="AJ71" s="114"/>
      <c r="AK71" s="111">
        <f>(AF71+AI71)*AJ71</f>
        <v>0</v>
      </c>
      <c r="AL71" s="111">
        <f t="shared" si="67"/>
        <v>630.4000000000001</v>
      </c>
      <c r="AM71" s="115">
        <f>AF71+AG71+AI71+AK71+AL71</f>
        <v>3782.4</v>
      </c>
      <c r="AN71" s="111">
        <v>9</v>
      </c>
      <c r="AO71" s="111">
        <v>0.5</v>
      </c>
      <c r="AP71" s="111">
        <v>2768</v>
      </c>
      <c r="AQ71" s="111">
        <f>AO71*AP71</f>
        <v>1384</v>
      </c>
      <c r="AR71" s="111"/>
      <c r="AS71" s="111"/>
      <c r="AT71" s="111">
        <f>AQ71*AS71</f>
        <v>0</v>
      </c>
      <c r="AU71" s="111"/>
      <c r="AV71" s="111">
        <f>(AQ71+AT71)*AU71</f>
        <v>0</v>
      </c>
      <c r="AW71" s="111">
        <f t="shared" si="68"/>
        <v>692</v>
      </c>
      <c r="AX71" s="115">
        <f>AQ71+AR71+AT71+AV71+AW71</f>
        <v>2076</v>
      </c>
      <c r="AY71" s="111">
        <v>12</v>
      </c>
      <c r="AZ71" s="111">
        <v>0.5</v>
      </c>
      <c r="BA71" s="111">
        <v>3392</v>
      </c>
      <c r="BB71" s="111">
        <f>AZ71*BA71</f>
        <v>1696</v>
      </c>
      <c r="BC71" s="111"/>
      <c r="BD71" s="111"/>
      <c r="BE71" s="111">
        <f>BB71*BD71</f>
        <v>0</v>
      </c>
      <c r="BF71" s="114">
        <v>0.1</v>
      </c>
      <c r="BG71" s="111">
        <f>(BB71+BE71)*BF71</f>
        <v>169.60000000000002</v>
      </c>
      <c r="BH71" s="111">
        <f t="shared" si="69"/>
        <v>339.20000000000005</v>
      </c>
      <c r="BI71" s="118">
        <f>BB71+BC71+BE71+BG71+BH71</f>
        <v>2204.8</v>
      </c>
      <c r="BJ71" s="111">
        <v>12</v>
      </c>
      <c r="BK71" s="111">
        <v>0.5</v>
      </c>
      <c r="BL71" s="111">
        <v>3392</v>
      </c>
      <c r="BM71" s="111">
        <f>BK71*BL71</f>
        <v>1696</v>
      </c>
      <c r="BN71" s="111"/>
      <c r="BO71" s="111"/>
      <c r="BP71" s="111">
        <f>BM71*BO71</f>
        <v>0</v>
      </c>
      <c r="BQ71" s="114">
        <v>0.1</v>
      </c>
      <c r="BR71" s="111">
        <f>(BM71+BP71)*BQ71</f>
        <v>169.60000000000002</v>
      </c>
      <c r="BS71" s="111">
        <f t="shared" si="73"/>
        <v>339.20000000000005</v>
      </c>
      <c r="BT71" s="118">
        <f>BM71+BN71+BP71+BR71+BS71</f>
        <v>2204.8</v>
      </c>
      <c r="BU71" s="111"/>
      <c r="BV71" s="111"/>
      <c r="BW71" s="111"/>
      <c r="BX71" s="111">
        <f>BV71*BW71</f>
        <v>0</v>
      </c>
      <c r="BY71" s="111"/>
      <c r="BZ71" s="111"/>
      <c r="CA71" s="111">
        <f>BX71*BZ71</f>
        <v>0</v>
      </c>
      <c r="CB71" s="111"/>
      <c r="CC71" s="111">
        <f>(BX71+CA71)*CB71</f>
        <v>0</v>
      </c>
      <c r="CD71" s="111">
        <f>(BX71+CA71)*20%</f>
        <v>0</v>
      </c>
      <c r="CE71" s="115">
        <f>BX71+BY71+CA71+CC71+CD71</f>
        <v>0</v>
      </c>
      <c r="CF71" s="111"/>
      <c r="CG71" s="111"/>
      <c r="CH71" s="111"/>
      <c r="CI71" s="111"/>
      <c r="CJ71" s="111"/>
      <c r="CK71" s="111"/>
      <c r="CL71" s="111">
        <f>CI71*CK71</f>
        <v>0</v>
      </c>
      <c r="CM71" s="111"/>
      <c r="CN71" s="111">
        <f>(CI71+CL71)*CM71</f>
        <v>0</v>
      </c>
      <c r="CO71" s="111">
        <f>(CI71+CL71)*20%</f>
        <v>0</v>
      </c>
      <c r="CP71" s="115">
        <f t="shared" si="71"/>
        <v>0</v>
      </c>
      <c r="CQ71" s="111"/>
      <c r="CR71" s="111"/>
      <c r="CS71" s="111"/>
      <c r="CT71" s="111">
        <f>CR71*CS71</f>
        <v>0</v>
      </c>
      <c r="CU71" s="111"/>
      <c r="CV71" s="111"/>
      <c r="CW71" s="111">
        <f>CT71*CV71</f>
        <v>0</v>
      </c>
      <c r="CX71" s="111"/>
      <c r="CY71" s="111">
        <f>(CT71+CW71)*CX71</f>
        <v>0</v>
      </c>
      <c r="CZ71" s="111">
        <f>(CT71+CW71)*20%</f>
        <v>0</v>
      </c>
      <c r="DA71" s="115">
        <f>CT71+CU71+CW71+CY71+CZ71</f>
        <v>0</v>
      </c>
      <c r="DB71" s="111">
        <f>H71+S71+S72+AD71+AO71+AZ71+BK71</f>
        <v>5</v>
      </c>
      <c r="DC71" s="118">
        <f>Q71+AB71+AB72+AM71+AX71+BI71+BT71</f>
        <v>26505.8</v>
      </c>
    </row>
    <row r="72" spans="1:107" s="119" customFormat="1" ht="26.25">
      <c r="A72" s="111"/>
      <c r="B72" s="111"/>
      <c r="C72" s="111"/>
      <c r="D72" s="111"/>
      <c r="E72" s="111"/>
      <c r="F72" s="112"/>
      <c r="G72" s="113"/>
      <c r="H72" s="111"/>
      <c r="I72" s="111"/>
      <c r="J72" s="111"/>
      <c r="K72" s="111"/>
      <c r="L72" s="111"/>
      <c r="M72" s="111"/>
      <c r="N72" s="114"/>
      <c r="O72" s="111">
        <f t="shared" si="63"/>
        <v>0</v>
      </c>
      <c r="P72" s="111">
        <f t="shared" si="64"/>
        <v>0</v>
      </c>
      <c r="Q72" s="115"/>
      <c r="R72" s="111"/>
      <c r="S72" s="111">
        <v>0.5</v>
      </c>
      <c r="T72" s="111">
        <f>J71*95%</f>
        <v>4240.8</v>
      </c>
      <c r="U72" s="117">
        <f t="shared" si="65"/>
        <v>2120.4</v>
      </c>
      <c r="V72" s="111"/>
      <c r="W72" s="111"/>
      <c r="X72" s="111"/>
      <c r="Y72" s="114">
        <v>0.3</v>
      </c>
      <c r="Z72" s="117">
        <f>(U72+X72)*Y72</f>
        <v>636.12</v>
      </c>
      <c r="AA72" s="111">
        <f t="shared" si="66"/>
        <v>424.08000000000004</v>
      </c>
      <c r="AB72" s="118">
        <f>U72+V72+X72+Z72+AA72</f>
        <v>3180.6</v>
      </c>
      <c r="AC72" s="111"/>
      <c r="AD72" s="111"/>
      <c r="AE72" s="111"/>
      <c r="AF72" s="111"/>
      <c r="AG72" s="111"/>
      <c r="AH72" s="111"/>
      <c r="AI72" s="111"/>
      <c r="AJ72" s="111"/>
      <c r="AK72" s="111"/>
      <c r="AL72" s="111">
        <f t="shared" si="67"/>
        <v>0</v>
      </c>
      <c r="AM72" s="115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>
        <f t="shared" si="68"/>
        <v>0</v>
      </c>
      <c r="AX72" s="115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>
        <f t="shared" si="69"/>
        <v>0</v>
      </c>
      <c r="BI72" s="115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>
        <f t="shared" si="73"/>
        <v>0</v>
      </c>
      <c r="BT72" s="115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5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5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5"/>
      <c r="DB72" s="111"/>
      <c r="DC72" s="118"/>
    </row>
    <row r="73" spans="1:107" ht="26.25">
      <c r="A73" s="8"/>
      <c r="B73" s="8"/>
      <c r="C73" s="8"/>
      <c r="D73" s="8"/>
      <c r="E73" s="8"/>
      <c r="F73" s="9"/>
      <c r="G73" s="10"/>
      <c r="H73" s="8"/>
      <c r="I73" s="8"/>
      <c r="J73" s="8"/>
      <c r="K73" s="8"/>
      <c r="L73" s="8"/>
      <c r="M73" s="8"/>
      <c r="N73" s="65"/>
      <c r="O73" s="111">
        <f t="shared" si="63"/>
        <v>0</v>
      </c>
      <c r="P73" s="111">
        <f t="shared" si="64"/>
        <v>0</v>
      </c>
      <c r="Q73" s="67"/>
      <c r="R73" s="8"/>
      <c r="S73" s="8"/>
      <c r="T73" s="8"/>
      <c r="U73" s="8"/>
      <c r="V73" s="8"/>
      <c r="W73" s="8"/>
      <c r="X73" s="8"/>
      <c r="Y73" s="8"/>
      <c r="Z73" s="8"/>
      <c r="AA73" s="8">
        <f t="shared" si="66"/>
        <v>0</v>
      </c>
      <c r="AB73" s="67"/>
      <c r="AC73" s="8"/>
      <c r="AD73" s="8"/>
      <c r="AE73" s="8"/>
      <c r="AF73" s="8"/>
      <c r="AG73" s="8"/>
      <c r="AH73" s="8"/>
      <c r="AI73" s="8"/>
      <c r="AJ73" s="8"/>
      <c r="AK73" s="8"/>
      <c r="AL73" s="8">
        <f t="shared" si="67"/>
        <v>0</v>
      </c>
      <c r="AM73" s="67"/>
      <c r="AN73" s="8"/>
      <c r="AO73" s="8"/>
      <c r="AP73" s="8"/>
      <c r="AQ73" s="8"/>
      <c r="AR73" s="8"/>
      <c r="AS73" s="8"/>
      <c r="AT73" s="8"/>
      <c r="AU73" s="8"/>
      <c r="AV73" s="8"/>
      <c r="AW73" s="8">
        <f t="shared" si="68"/>
        <v>0</v>
      </c>
      <c r="AX73" s="67"/>
      <c r="AY73" s="8"/>
      <c r="AZ73" s="8"/>
      <c r="BA73" s="8"/>
      <c r="BB73" s="8"/>
      <c r="BC73" s="8"/>
      <c r="BD73" s="8"/>
      <c r="BE73" s="8"/>
      <c r="BF73" s="65"/>
      <c r="BG73" s="66"/>
      <c r="BH73" s="8">
        <f t="shared" si="69"/>
        <v>0</v>
      </c>
      <c r="BI73" s="69"/>
      <c r="BJ73" s="8"/>
      <c r="BK73" s="8"/>
      <c r="BL73" s="8"/>
      <c r="BM73" s="8"/>
      <c r="BN73" s="8"/>
      <c r="BO73" s="8"/>
      <c r="BP73" s="8"/>
      <c r="BQ73" s="65"/>
      <c r="BR73" s="66"/>
      <c r="BS73" s="8">
        <f t="shared" si="73"/>
        <v>0</v>
      </c>
      <c r="BT73" s="69"/>
      <c r="BU73" s="8"/>
      <c r="BV73" s="8"/>
      <c r="BW73" s="8"/>
      <c r="BX73" s="8"/>
      <c r="BY73" s="8"/>
      <c r="BZ73" s="8"/>
      <c r="CA73" s="8"/>
      <c r="CB73" s="65"/>
      <c r="CC73" s="66"/>
      <c r="CD73" s="8"/>
      <c r="CE73" s="69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67"/>
      <c r="CQ73" s="8"/>
      <c r="CR73" s="8"/>
      <c r="CS73" s="8"/>
      <c r="CT73" s="8"/>
      <c r="CU73" s="8"/>
      <c r="CV73" s="8"/>
      <c r="CW73" s="8"/>
      <c r="CX73" s="65"/>
      <c r="CY73" s="8"/>
      <c r="CZ73" s="8"/>
      <c r="DA73" s="67"/>
      <c r="DB73" s="8"/>
      <c r="DC73" s="69"/>
    </row>
    <row r="74" spans="1:107" ht="26.25">
      <c r="A74" s="8"/>
      <c r="B74" s="8"/>
      <c r="C74" s="8"/>
      <c r="D74" s="8"/>
      <c r="E74" s="8"/>
      <c r="F74" s="9"/>
      <c r="G74" s="10"/>
      <c r="H74" s="8"/>
      <c r="I74" s="8"/>
      <c r="J74" s="8"/>
      <c r="K74" s="8"/>
      <c r="L74" s="8"/>
      <c r="M74" s="8"/>
      <c r="N74" s="65"/>
      <c r="O74" s="111">
        <f t="shared" si="63"/>
        <v>0</v>
      </c>
      <c r="P74" s="111">
        <f t="shared" si="64"/>
        <v>0</v>
      </c>
      <c r="Q74" s="67"/>
      <c r="R74" s="8"/>
      <c r="S74" s="8"/>
      <c r="T74" s="8"/>
      <c r="U74" s="8"/>
      <c r="V74" s="8"/>
      <c r="W74" s="8"/>
      <c r="X74" s="8"/>
      <c r="Y74" s="8"/>
      <c r="Z74" s="8"/>
      <c r="AA74" s="8">
        <f t="shared" si="66"/>
        <v>0</v>
      </c>
      <c r="AB74" s="67"/>
      <c r="AC74" s="8"/>
      <c r="AD74" s="8"/>
      <c r="AE74" s="8"/>
      <c r="AF74" s="8"/>
      <c r="AG74" s="8"/>
      <c r="AH74" s="8"/>
      <c r="AI74" s="8"/>
      <c r="AJ74" s="8"/>
      <c r="AK74" s="8"/>
      <c r="AL74" s="8">
        <f t="shared" si="67"/>
        <v>0</v>
      </c>
      <c r="AM74" s="67"/>
      <c r="AN74" s="8"/>
      <c r="AO74" s="8"/>
      <c r="AP74" s="8"/>
      <c r="AQ74" s="8"/>
      <c r="AR74" s="8"/>
      <c r="AS74" s="8"/>
      <c r="AT74" s="8"/>
      <c r="AU74" s="8"/>
      <c r="AV74" s="8"/>
      <c r="AW74" s="8">
        <f t="shared" si="68"/>
        <v>0</v>
      </c>
      <c r="AX74" s="67"/>
      <c r="AY74" s="8"/>
      <c r="AZ74" s="8"/>
      <c r="BA74" s="8"/>
      <c r="BB74" s="8"/>
      <c r="BC74" s="8"/>
      <c r="BD74" s="8"/>
      <c r="BE74" s="8"/>
      <c r="BF74" s="8"/>
      <c r="BG74" s="66"/>
      <c r="BH74" s="8">
        <f t="shared" si="69"/>
        <v>0</v>
      </c>
      <c r="BI74" s="67"/>
      <c r="BJ74" s="8"/>
      <c r="BK74" s="8"/>
      <c r="BL74" s="8"/>
      <c r="BM74" s="8"/>
      <c r="BN74" s="8"/>
      <c r="BO74" s="8"/>
      <c r="BP74" s="8"/>
      <c r="BQ74" s="8"/>
      <c r="BR74" s="8"/>
      <c r="BS74" s="8">
        <f t="shared" si="73"/>
        <v>0</v>
      </c>
      <c r="BT74" s="67"/>
      <c r="BU74" s="8"/>
      <c r="BV74" s="8"/>
      <c r="BW74" s="8"/>
      <c r="BX74" s="8"/>
      <c r="BY74" s="8"/>
      <c r="BZ74" s="8"/>
      <c r="CA74" s="8"/>
      <c r="CB74" s="65"/>
      <c r="CC74" s="8"/>
      <c r="CD74" s="8"/>
      <c r="CE74" s="69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67"/>
      <c r="CQ74" s="8"/>
      <c r="CR74" s="8"/>
      <c r="CS74" s="8"/>
      <c r="CT74" s="8">
        <f>CR74*CS74</f>
        <v>0</v>
      </c>
      <c r="CU74" s="8"/>
      <c r="CV74" s="8"/>
      <c r="CW74" s="8"/>
      <c r="CX74" s="65"/>
      <c r="CY74" s="66">
        <f>(CT74+CW74)*CX74</f>
        <v>0</v>
      </c>
      <c r="CZ74" s="8">
        <f>(CT74+CW74)*20%</f>
        <v>0</v>
      </c>
      <c r="DA74" s="69">
        <f>CT74+CU74+CW74+CY74+CZ74</f>
        <v>0</v>
      </c>
      <c r="DB74" s="8"/>
      <c r="DC74" s="69"/>
    </row>
    <row r="75" spans="1:107" s="119" customFormat="1" ht="30.75" customHeight="1">
      <c r="A75" s="111">
        <v>26</v>
      </c>
      <c r="B75" s="111" t="s">
        <v>76</v>
      </c>
      <c r="C75" s="111">
        <v>6</v>
      </c>
      <c r="D75" s="111">
        <v>6</v>
      </c>
      <c r="E75" s="111">
        <v>42</v>
      </c>
      <c r="F75" s="112"/>
      <c r="G75" s="113">
        <v>15</v>
      </c>
      <c r="H75" s="111">
        <v>1</v>
      </c>
      <c r="I75" s="111"/>
      <c r="J75" s="111">
        <v>4128</v>
      </c>
      <c r="K75" s="111"/>
      <c r="L75" s="111"/>
      <c r="M75" s="111"/>
      <c r="N75" s="114">
        <v>0.2</v>
      </c>
      <c r="O75" s="117">
        <f>(J75+M75)*N75</f>
        <v>825.6</v>
      </c>
      <c r="P75" s="117">
        <f>(J75+M75)*20%</f>
        <v>825.6</v>
      </c>
      <c r="Q75" s="115">
        <f>J75+K75+M75+O75+P75</f>
        <v>5779.200000000001</v>
      </c>
      <c r="R75" s="111"/>
      <c r="S75" s="111">
        <v>0.5</v>
      </c>
      <c r="T75" s="111">
        <f>J75*95%</f>
        <v>3921.6</v>
      </c>
      <c r="U75" s="117">
        <f t="shared" si="65"/>
        <v>1960.8</v>
      </c>
      <c r="V75" s="111"/>
      <c r="W75" s="111"/>
      <c r="X75" s="111">
        <f>U75*W75</f>
        <v>0</v>
      </c>
      <c r="Y75" s="114">
        <v>0.2</v>
      </c>
      <c r="Z75" s="117">
        <f>(U75+X75)*Y75</f>
        <v>392.16</v>
      </c>
      <c r="AA75" s="117">
        <f t="shared" si="66"/>
        <v>392.16</v>
      </c>
      <c r="AB75" s="118">
        <f>U75+V75+X75+Z75+AA75</f>
        <v>2745.12</v>
      </c>
      <c r="AC75" s="111">
        <v>11</v>
      </c>
      <c r="AD75" s="111">
        <v>0.5</v>
      </c>
      <c r="AE75" s="111">
        <v>3152</v>
      </c>
      <c r="AF75" s="111">
        <f>AD75*AE75</f>
        <v>1576</v>
      </c>
      <c r="AG75" s="111"/>
      <c r="AH75" s="111"/>
      <c r="AI75" s="111">
        <f>AF75*AH75</f>
        <v>0</v>
      </c>
      <c r="AJ75" s="114">
        <v>0.1</v>
      </c>
      <c r="AK75" s="111">
        <f>(AF75+AI75)*AJ75</f>
        <v>157.60000000000002</v>
      </c>
      <c r="AL75" s="111">
        <f t="shared" si="67"/>
        <v>315.20000000000005</v>
      </c>
      <c r="AM75" s="115">
        <f>AF75+AG75+AI75+AK75+AL75</f>
        <v>2048.8</v>
      </c>
      <c r="AN75" s="111"/>
      <c r="AO75" s="111"/>
      <c r="AP75" s="111"/>
      <c r="AQ75" s="111">
        <f>AO75*AP75</f>
        <v>0</v>
      </c>
      <c r="AR75" s="111"/>
      <c r="AS75" s="111"/>
      <c r="AT75" s="111">
        <f>AQ75*AS75</f>
        <v>0</v>
      </c>
      <c r="AU75" s="111"/>
      <c r="AV75" s="111">
        <f>(AQ75+AT75)*AU75</f>
        <v>0</v>
      </c>
      <c r="AW75" s="111">
        <f t="shared" si="68"/>
        <v>0</v>
      </c>
      <c r="AX75" s="115">
        <f>AQ75+AR75+AT75+AV75+AW75</f>
        <v>0</v>
      </c>
      <c r="AY75" s="111">
        <v>11</v>
      </c>
      <c r="AZ75" s="116">
        <v>0.25</v>
      </c>
      <c r="BA75" s="111">
        <v>3152</v>
      </c>
      <c r="BB75" s="111">
        <f>AZ75*BA75</f>
        <v>788</v>
      </c>
      <c r="BC75" s="111"/>
      <c r="BD75" s="111"/>
      <c r="BE75" s="111">
        <f>BB75*BD75</f>
        <v>0</v>
      </c>
      <c r="BF75" s="114">
        <v>0.1</v>
      </c>
      <c r="BG75" s="117">
        <f>(BB75+BE75)*BF75</f>
        <v>78.80000000000001</v>
      </c>
      <c r="BH75" s="111">
        <f t="shared" si="69"/>
        <v>157.60000000000002</v>
      </c>
      <c r="BI75" s="118">
        <f>BB75+BC75+BE75+BG75+BH75</f>
        <v>1024.4</v>
      </c>
      <c r="BJ75" s="111">
        <v>11</v>
      </c>
      <c r="BK75" s="116">
        <v>0.25</v>
      </c>
      <c r="BL75" s="111">
        <v>3152</v>
      </c>
      <c r="BM75" s="111">
        <f>BK75*BL75</f>
        <v>788</v>
      </c>
      <c r="BN75" s="111"/>
      <c r="BO75" s="111"/>
      <c r="BP75" s="111">
        <f>BM75*BO75</f>
        <v>0</v>
      </c>
      <c r="BQ75" s="114">
        <v>0.1</v>
      </c>
      <c r="BR75" s="117">
        <f>(BM75+BP75)*BQ75</f>
        <v>78.80000000000001</v>
      </c>
      <c r="BS75" s="111">
        <f t="shared" si="73"/>
        <v>157.60000000000002</v>
      </c>
      <c r="BT75" s="118">
        <f>BM75+BN75+BP75+BR75+BS75</f>
        <v>1024.4</v>
      </c>
      <c r="BU75" s="111"/>
      <c r="BV75" s="111"/>
      <c r="BW75" s="111"/>
      <c r="BX75" s="111">
        <f>BV75*BW75</f>
        <v>0</v>
      </c>
      <c r="BY75" s="111"/>
      <c r="BZ75" s="111"/>
      <c r="CA75" s="111">
        <f>BX75*BZ75</f>
        <v>0</v>
      </c>
      <c r="CB75" s="111"/>
      <c r="CC75" s="111">
        <f>(BX75+CA75)*CB75</f>
        <v>0</v>
      </c>
      <c r="CD75" s="111">
        <f>(BX75+CA75)*20%</f>
        <v>0</v>
      </c>
      <c r="CE75" s="115">
        <f>BX75+BY75+CA75+CC75+CD75</f>
        <v>0</v>
      </c>
      <c r="CF75" s="111"/>
      <c r="CG75" s="111"/>
      <c r="CH75" s="111"/>
      <c r="CI75" s="111">
        <f t="shared" si="70"/>
        <v>0</v>
      </c>
      <c r="CJ75" s="111"/>
      <c r="CK75" s="111"/>
      <c r="CL75" s="111">
        <f>CI75*CK75</f>
        <v>0</v>
      </c>
      <c r="CM75" s="111"/>
      <c r="CN75" s="111">
        <f>(CI75+CL75)*CM75</f>
        <v>0</v>
      </c>
      <c r="CO75" s="111">
        <f>(CI75+CL75)*20%</f>
        <v>0</v>
      </c>
      <c r="CP75" s="115">
        <f t="shared" si="71"/>
        <v>0</v>
      </c>
      <c r="CQ75" s="111"/>
      <c r="CR75" s="111"/>
      <c r="CS75" s="111"/>
      <c r="CT75" s="111">
        <f>CR75*CS75</f>
        <v>0</v>
      </c>
      <c r="CU75" s="111"/>
      <c r="CV75" s="111"/>
      <c r="CW75" s="111">
        <f>CT75*CV75</f>
        <v>0</v>
      </c>
      <c r="CX75" s="111"/>
      <c r="CY75" s="111">
        <f>(CT75+CW75)*CX75</f>
        <v>0</v>
      </c>
      <c r="CZ75" s="111">
        <f>(CT75+CW75)*20%</f>
        <v>0</v>
      </c>
      <c r="DA75" s="115">
        <f>CT75+CU75+CW75+CY75+CZ75</f>
        <v>0</v>
      </c>
      <c r="DB75" s="111">
        <f>H75+S75+AD75+AZ75+BK75+BV75+CG75+CR75+S76</f>
        <v>2.5</v>
      </c>
      <c r="DC75" s="118">
        <f>Q75+AB75+BI75+BT75+CE75+CP75+DA75+AM75+AB76</f>
        <v>12621.919999999998</v>
      </c>
    </row>
    <row r="76" spans="1:107" ht="30.75" customHeight="1">
      <c r="A76" s="8"/>
      <c r="B76" s="8"/>
      <c r="C76" s="8"/>
      <c r="D76" s="8"/>
      <c r="E76" s="8"/>
      <c r="F76" s="9"/>
      <c r="G76" s="10"/>
      <c r="H76" s="8"/>
      <c r="I76" s="8"/>
      <c r="J76" s="8"/>
      <c r="K76" s="8"/>
      <c r="L76" s="8"/>
      <c r="M76" s="8"/>
      <c r="N76" s="65"/>
      <c r="O76" s="8"/>
      <c r="P76" s="8"/>
      <c r="Q76" s="67"/>
      <c r="R76" s="8"/>
      <c r="S76" s="8"/>
      <c r="T76" s="8"/>
      <c r="U76" s="66">
        <f t="shared" si="65"/>
        <v>0</v>
      </c>
      <c r="V76" s="8"/>
      <c r="W76" s="8"/>
      <c r="X76" s="8"/>
      <c r="Y76" s="65"/>
      <c r="Z76" s="66">
        <f>(U76+X76)*Y76</f>
        <v>0</v>
      </c>
      <c r="AA76" s="66">
        <f t="shared" si="66"/>
        <v>0</v>
      </c>
      <c r="AB76" s="69">
        <f>U76+V76+X76+Z76+AA76</f>
        <v>0</v>
      </c>
      <c r="AC76" s="8"/>
      <c r="AD76" s="8"/>
      <c r="AE76" s="8"/>
      <c r="AF76" s="8"/>
      <c r="AG76" s="8"/>
      <c r="AH76" s="8"/>
      <c r="AI76" s="8"/>
      <c r="AJ76" s="65"/>
      <c r="AK76" s="8"/>
      <c r="AL76" s="8"/>
      <c r="AM76" s="67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67"/>
      <c r="AY76" s="8"/>
      <c r="AZ76" s="82"/>
      <c r="BA76" s="8"/>
      <c r="BB76" s="8"/>
      <c r="BC76" s="8"/>
      <c r="BD76" s="8"/>
      <c r="BE76" s="8"/>
      <c r="BF76" s="65"/>
      <c r="BG76" s="66"/>
      <c r="BH76" s="8"/>
      <c r="BI76" s="69"/>
      <c r="BJ76" s="8"/>
      <c r="BK76" s="82"/>
      <c r="BL76" s="8"/>
      <c r="BM76" s="8"/>
      <c r="BN76" s="8"/>
      <c r="BO76" s="8"/>
      <c r="BP76" s="8"/>
      <c r="BQ76" s="65"/>
      <c r="BR76" s="66"/>
      <c r="BS76" s="8"/>
      <c r="BT76" s="69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67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7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67"/>
      <c r="DB76" s="8"/>
      <c r="DC76" s="69"/>
    </row>
    <row r="77" spans="1:107" s="119" customFormat="1" ht="26.25">
      <c r="A77" s="111">
        <v>27</v>
      </c>
      <c r="B77" s="111" t="s">
        <v>77</v>
      </c>
      <c r="C77" s="111">
        <v>4</v>
      </c>
      <c r="D77" s="111">
        <v>4</v>
      </c>
      <c r="E77" s="111">
        <v>36</v>
      </c>
      <c r="F77" s="112"/>
      <c r="G77" s="113">
        <v>14</v>
      </c>
      <c r="H77" s="111">
        <v>1</v>
      </c>
      <c r="I77" s="111"/>
      <c r="J77" s="111">
        <v>3872</v>
      </c>
      <c r="K77" s="111"/>
      <c r="L77" s="111"/>
      <c r="M77" s="111"/>
      <c r="N77" s="114">
        <v>0.3</v>
      </c>
      <c r="O77" s="117">
        <f>(J77+M77)*N77</f>
        <v>1161.6</v>
      </c>
      <c r="P77" s="117">
        <f>(J77+M77)*20%</f>
        <v>774.4000000000001</v>
      </c>
      <c r="Q77" s="115">
        <f>J77+K77+M77+O77+P77</f>
        <v>5808</v>
      </c>
      <c r="R77" s="111"/>
      <c r="S77" s="111"/>
      <c r="T77" s="111"/>
      <c r="U77" s="111">
        <f t="shared" si="65"/>
        <v>0</v>
      </c>
      <c r="V77" s="111"/>
      <c r="W77" s="111"/>
      <c r="X77" s="111">
        <f>U77*W77</f>
        <v>0</v>
      </c>
      <c r="Y77" s="111"/>
      <c r="Z77" s="111">
        <f>(U77+X77)*Y77</f>
        <v>0</v>
      </c>
      <c r="AA77" s="111">
        <f t="shared" si="66"/>
        <v>0</v>
      </c>
      <c r="AB77" s="115">
        <f>U77+V77+X77+Z77+AA77</f>
        <v>0</v>
      </c>
      <c r="AC77" s="111"/>
      <c r="AD77" s="111"/>
      <c r="AE77" s="111"/>
      <c r="AF77" s="111">
        <f>AD77*AE77</f>
        <v>0</v>
      </c>
      <c r="AG77" s="111"/>
      <c r="AH77" s="111"/>
      <c r="AI77" s="111">
        <f>AF77*AH77</f>
        <v>0</v>
      </c>
      <c r="AJ77" s="114"/>
      <c r="AK77" s="111">
        <f>(AF77+AI77)*AJ77</f>
        <v>0</v>
      </c>
      <c r="AL77" s="111">
        <f t="shared" si="67"/>
        <v>0</v>
      </c>
      <c r="AM77" s="115">
        <f>AF77+AG77+AI77+AK77+AL77</f>
        <v>0</v>
      </c>
      <c r="AN77" s="111"/>
      <c r="AO77" s="111"/>
      <c r="AP77" s="111"/>
      <c r="AQ77" s="111">
        <f>AO77*AP77</f>
        <v>0</v>
      </c>
      <c r="AR77" s="111"/>
      <c r="AS77" s="111"/>
      <c r="AT77" s="111">
        <f>AQ77*AS77</f>
        <v>0</v>
      </c>
      <c r="AU77" s="111"/>
      <c r="AV77" s="111">
        <f>(AQ77+AT77)*AU77</f>
        <v>0</v>
      </c>
      <c r="AW77" s="111">
        <f t="shared" si="68"/>
        <v>0</v>
      </c>
      <c r="AX77" s="115">
        <f>AQ77+AR77+AT77+AV77+AW77</f>
        <v>0</v>
      </c>
      <c r="AY77" s="111">
        <v>11</v>
      </c>
      <c r="AZ77" s="116">
        <v>0.25</v>
      </c>
      <c r="BA77" s="111">
        <v>3152</v>
      </c>
      <c r="BB77" s="111">
        <f>AZ77*BA77</f>
        <v>788</v>
      </c>
      <c r="BC77" s="111"/>
      <c r="BD77" s="111"/>
      <c r="BE77" s="111">
        <f>BB77*BD77</f>
        <v>0</v>
      </c>
      <c r="BF77" s="114">
        <v>0.1</v>
      </c>
      <c r="BG77" s="117">
        <f>(BB77+BE77)*BF77</f>
        <v>78.80000000000001</v>
      </c>
      <c r="BH77" s="111">
        <f t="shared" si="69"/>
        <v>157.60000000000002</v>
      </c>
      <c r="BI77" s="118">
        <f>BB77+BC77+BE77+BG77+BH77</f>
        <v>1024.4</v>
      </c>
      <c r="BJ77" s="111">
        <v>11</v>
      </c>
      <c r="BK77" s="116">
        <v>0.25</v>
      </c>
      <c r="BL77" s="111">
        <v>3152</v>
      </c>
      <c r="BM77" s="111">
        <f>BK77*BL77</f>
        <v>788</v>
      </c>
      <c r="BN77" s="111"/>
      <c r="BO77" s="111"/>
      <c r="BP77" s="111">
        <f>BM77*BO77</f>
        <v>0</v>
      </c>
      <c r="BQ77" s="114">
        <v>0.1</v>
      </c>
      <c r="BR77" s="117">
        <f>(BM77+BP77)*BQ77</f>
        <v>78.80000000000001</v>
      </c>
      <c r="BS77" s="111">
        <f t="shared" si="73"/>
        <v>157.60000000000002</v>
      </c>
      <c r="BT77" s="118">
        <f>BM77+BN77+BP77+BR77+BS77</f>
        <v>1024.4</v>
      </c>
      <c r="BU77" s="111"/>
      <c r="BV77" s="111"/>
      <c r="BW77" s="111"/>
      <c r="BX77" s="111">
        <f>BV77*BW77</f>
        <v>0</v>
      </c>
      <c r="BY77" s="111"/>
      <c r="BZ77" s="111"/>
      <c r="CA77" s="111">
        <f>BX77*BZ77</f>
        <v>0</v>
      </c>
      <c r="CB77" s="111"/>
      <c r="CC77" s="111">
        <f>(BX77+CA77)*CB77</f>
        <v>0</v>
      </c>
      <c r="CD77" s="111">
        <f>(BX77+CA77)*20%</f>
        <v>0</v>
      </c>
      <c r="CE77" s="115">
        <f>BX77+BY77+CA77+CC77+CD77</f>
        <v>0</v>
      </c>
      <c r="CF77" s="111"/>
      <c r="CG77" s="111"/>
      <c r="CH77" s="111"/>
      <c r="CI77" s="111">
        <f t="shared" si="70"/>
        <v>0</v>
      </c>
      <c r="CJ77" s="111"/>
      <c r="CK77" s="111"/>
      <c r="CL77" s="111">
        <f>CI77*CK77</f>
        <v>0</v>
      </c>
      <c r="CM77" s="111"/>
      <c r="CN77" s="111">
        <f>(CI77+CL77)*CM77</f>
        <v>0</v>
      </c>
      <c r="CO77" s="111">
        <f>(CI77+CL77)*20%</f>
        <v>0</v>
      </c>
      <c r="CP77" s="115">
        <f t="shared" si="71"/>
        <v>0</v>
      </c>
      <c r="CQ77" s="111"/>
      <c r="CR77" s="111"/>
      <c r="CS77" s="111"/>
      <c r="CT77" s="111">
        <f>CR77*CS77</f>
        <v>0</v>
      </c>
      <c r="CU77" s="111"/>
      <c r="CV77" s="111"/>
      <c r="CW77" s="111">
        <f>CT77*CV77</f>
        <v>0</v>
      </c>
      <c r="CX77" s="111"/>
      <c r="CY77" s="111">
        <f>(CT77+CW77)*CX77</f>
        <v>0</v>
      </c>
      <c r="CZ77" s="111">
        <f>(CT77+CW77)*20%</f>
        <v>0</v>
      </c>
      <c r="DA77" s="115">
        <f>CT77+CU77+CW77+CY77+CZ77</f>
        <v>0</v>
      </c>
      <c r="DB77" s="111">
        <f>H77+S77+AD77+AZ77+BK77+BV77+CG77+CR77</f>
        <v>1.5</v>
      </c>
      <c r="DC77" s="118">
        <f>Q77+AB77+BI77+BT77+CE77+CP77+DA77+AM77</f>
        <v>7856.799999999999</v>
      </c>
    </row>
    <row r="78" spans="1:107" s="87" customFormat="1" ht="30" customHeight="1">
      <c r="A78" s="84"/>
      <c r="B78" s="84" t="s">
        <v>58</v>
      </c>
      <c r="C78" s="84">
        <f>C38+C39+C40+C42+C49+C51+C54+C57+C61+C65+C67+C71+C73+C75+C77</f>
        <v>110</v>
      </c>
      <c r="D78" s="84">
        <f>D38+D39+D40+D42+D49+D51+D54+D57+D61+D65+D67+D71+D73+D75+D77</f>
        <v>111</v>
      </c>
      <c r="E78" s="84">
        <f>E38+E39+E40+E42+E49+E51+E54+E57+E61+E65+E67+E71+E73+E75+E77</f>
        <v>1448</v>
      </c>
      <c r="F78" s="84">
        <f>F38+F39+F40+F42+F49+F51+F54+F57+F61+F65+F67+F71+F73+F75+F77</f>
        <v>4</v>
      </c>
      <c r="G78" s="84"/>
      <c r="H78" s="84">
        <f>H38+H39+H40+H42+H49+H51+H54+H57+H61+H65+H67+H71+H73+H75+H77</f>
        <v>13</v>
      </c>
      <c r="I78" s="84"/>
      <c r="J78" s="84">
        <f>J38+J39+J40+J42+J49+J51+J54+J57+J61+J65+J67+J71+J73+J75+J77</f>
        <v>55504</v>
      </c>
      <c r="K78" s="84">
        <f>K38+K39+K40+K42+K49+K51+K54+K57+K61+K65+K67+K71+K73+K75+K77</f>
        <v>0</v>
      </c>
      <c r="L78" s="84">
        <f>L38+L39+L40+L42+L49+L51+L54+L57+L61+L65+L67+L71+L73+L75+L77</f>
        <v>0</v>
      </c>
      <c r="M78" s="84">
        <f>M38+M39+M40+M42+M49+M51+M54+M57+M61+M65+M67+M71+M73+M75+M77</f>
        <v>0</v>
      </c>
      <c r="N78" s="84"/>
      <c r="O78" s="84">
        <f>O38+O39+O40+O42+O49+O51+O54+O57+O61+O65+O67+O71+O73+O75+O77</f>
        <v>15825.600000000002</v>
      </c>
      <c r="P78" s="84">
        <f>P38+P39+P40+P42+P49+P51+P54+P57+P61+P65+P67+P71+P73+P75+P77</f>
        <v>11100.800000000001</v>
      </c>
      <c r="Q78" s="84">
        <f>Q38+Q39+Q40+Q42+Q49+Q51+Q54+Q57+Q61+Q65+Q67+Q71+Q73+Q75+Q77</f>
        <v>82430.4</v>
      </c>
      <c r="R78" s="84"/>
      <c r="S78" s="84">
        <f>SUM(S38:S77)</f>
        <v>12.5</v>
      </c>
      <c r="T78" s="85">
        <f>T38+T39+T40+T42+T49+T51+T54+T57+T61+T65+T67+T71+T73+T75+T77</f>
        <v>41450.4</v>
      </c>
      <c r="U78" s="85">
        <f>SUM(U38:U77)</f>
        <v>52052.400000000016</v>
      </c>
      <c r="V78" s="84">
        <f>V38+V39+V40+V42+V49+V51+V54+V57+V61+V65+V67+V71+V73+V75+V77</f>
        <v>0</v>
      </c>
      <c r="W78" s="84">
        <f>W38+W39+W40+W42+W49+W51+W54+W57+W61+W65+W67+W71+W73+W75+W77</f>
        <v>0</v>
      </c>
      <c r="X78" s="84">
        <f>X38+X39+X40+X42+X49+X51+X54+X57+X61+X65+X67+X71+X73+X75+X77</f>
        <v>0</v>
      </c>
      <c r="Y78" s="84"/>
      <c r="Z78" s="85">
        <f>SUM(Z38:Z77)</f>
        <v>14497.380000000001</v>
      </c>
      <c r="AA78" s="85">
        <f>SUM(AA38:AA77)</f>
        <v>10410.48</v>
      </c>
      <c r="AB78" s="85">
        <f>AB38+AB39+AB40+AB41+AB42+AB46+AB49+AB50+AB51+AB52+AB53+AB54+AB56+AB57+AB58+AB60+AB61+AB62+AB63+AB65+AB66+AB67+AB68+AB69+AB71+AB72+AB73+AB74+AB75+AB77</f>
        <v>76960.26</v>
      </c>
      <c r="AC78" s="84"/>
      <c r="AD78" s="84">
        <f>AD38+AD39+AD40+AD42+AD49+AD51+AD54+AD57+AD61+AD65+AD67+AD71+AD73+AD75+AD77</f>
        <v>9.5</v>
      </c>
      <c r="AE78" s="84"/>
      <c r="AF78" s="84">
        <f>AF38+AF39+AF40+AF42+AF49+AF51+AF54+AF57+AF61+AF65+AF67+AF71+AF73+AF75+AF77</f>
        <v>30040</v>
      </c>
      <c r="AG78" s="84">
        <f>AG38+AG39+AG40+AG42+AG49+AG51+AG54+AG57+AG61+AG65+AG67+AG71+AG73+AG75+AG77</f>
        <v>0</v>
      </c>
      <c r="AH78" s="84">
        <f>AH38+AH39+AH40+AH42+AH49+AH51+AH54+AH57+AH61+AH65+AH67+AH71+AH73+AH75+AH77</f>
        <v>0</v>
      </c>
      <c r="AI78" s="84">
        <f>AI38+AI39+AI40+AI42+AI49+AI51+AI54+AI57+AI61+AI65+AI67+AI71+AI73+AI75+AI77</f>
        <v>0</v>
      </c>
      <c r="AJ78" s="84"/>
      <c r="AK78" s="84">
        <f>AK38+AK39+AK40+AK42+AK49+AK51+AK54+AK57+AK61+AK65+AK67+AK71+AK73+AK75+AK77</f>
        <v>4007.2</v>
      </c>
      <c r="AL78" s="84">
        <f>AL38+AL39+AL40+AL42+AL49+AL51+AL54+AL57+AL61+AL65+AL67+AL71+AL73+AL75+AL77</f>
        <v>6007.999999999999</v>
      </c>
      <c r="AM78" s="84">
        <f>AM38+AM39+AM40+AM42+AM49+AM51+AM54+AM57+AM61+AM65+AM67+AM71+AM73+AM75+AM77</f>
        <v>40055.2</v>
      </c>
      <c r="AN78" s="84"/>
      <c r="AO78" s="84">
        <f>AO38+AO39+AO40+AO42+AO49+AO51+AO54+AO57+AO61+AO65+AO67+AO71+AO73+AO75+AO77</f>
        <v>6</v>
      </c>
      <c r="AP78" s="84"/>
      <c r="AQ78" s="84">
        <f aca="true" t="shared" si="81" ref="AQ78:AX78">AQ38+AQ39+AQ40+AQ42+AQ49+AQ51+AQ54+AQ57+AQ61+AQ65+AQ67+AQ71+AQ73+AQ75+AQ77</f>
        <v>17280</v>
      </c>
      <c r="AR78" s="84">
        <f t="shared" si="81"/>
        <v>0</v>
      </c>
      <c r="AS78" s="84">
        <f t="shared" si="81"/>
        <v>0</v>
      </c>
      <c r="AT78" s="84">
        <f t="shared" si="81"/>
        <v>0</v>
      </c>
      <c r="AU78" s="84"/>
      <c r="AV78" s="84">
        <f t="shared" si="81"/>
        <v>1718.4</v>
      </c>
      <c r="AW78" s="85">
        <f t="shared" si="81"/>
        <v>8640</v>
      </c>
      <c r="AX78" s="85">
        <f t="shared" si="81"/>
        <v>27638.4</v>
      </c>
      <c r="AY78" s="84"/>
      <c r="AZ78" s="84">
        <f>AZ38+AZ39+AZ40+AZ42+AZ49+AZ51+AZ54+AZ57+AZ61+AZ65+AZ67+AZ71+AZ73+AZ75+AZ77</f>
        <v>5.5</v>
      </c>
      <c r="BA78" s="84"/>
      <c r="BB78" s="84">
        <f>BB38+BB39+BB40+BB42+BB49+BB51+BB54+BB57+BB61+BB65+BB67+BB71+BB73+BB75+BB77</f>
        <v>17696</v>
      </c>
      <c r="BC78" s="84">
        <f>BC38+BC39+BC40+BC42+BC49+BC51+BC54+BC57+BC61+BC65+BC67+BC71+BC73+BC75+BC77</f>
        <v>0</v>
      </c>
      <c r="BD78" s="84">
        <f>BD38+BD39+BD40+BD42+BD49+BD51+BD54+BD57+BD61+BD65+BD67+BD71+BD73+BD75+BD77</f>
        <v>0</v>
      </c>
      <c r="BE78" s="84">
        <f>BE38+BE39+BE40+BE42+BE49+BE51+BE54+BE57+BE61+BE65+BE67+BE71+BE73+BE75+BE77</f>
        <v>0</v>
      </c>
      <c r="BF78" s="84"/>
      <c r="BG78" s="85">
        <f>BG38+BG39+BG40+BG42+BG49+BG51+BG54+BG57+BG61+BG65+BG67+BG71+BG73+BG75+BG77</f>
        <v>1636</v>
      </c>
      <c r="BH78" s="84">
        <f>BH38+BH39+BH40+BH42+BH49+BH51+BH54+BH57+BH61+BH65+BH67+BH71+BH73+BH75+BH77</f>
        <v>3539.2</v>
      </c>
      <c r="BI78" s="85">
        <f>BI38+BI39+BI40+BI42+BI49+BI51+BI54+BI57+BI61+BI65+BI67+BI71+BI73+BI75+BI77</f>
        <v>22871.2</v>
      </c>
      <c r="BJ78" s="84"/>
      <c r="BK78" s="84">
        <f>BK38+BK39+BK40+BK42+BK49+BK51+BK54+BK57+BK61+BK65+BK67+BK71+BK73+BK75+BK77</f>
        <v>5.5</v>
      </c>
      <c r="BL78" s="84"/>
      <c r="BM78" s="84">
        <f>BM38+BM39+BM40+BM42+BM49+BM51+BM54+BM57+BM61+BM65+BM67+BM71+BM73+BM75+BM77</f>
        <v>17816</v>
      </c>
      <c r="BN78" s="84">
        <f>BN38+BN39+BN40+BN42+BN49+BN51+BN54+BN57+BN61+BN65+BN67+BN71+BN73+BN75+BN77</f>
        <v>0</v>
      </c>
      <c r="BO78" s="84">
        <f>BO38+BO39+BO40+BO42+BO49+BO51+BO54+BO57+BO61+BO65+BO67+BO71+BO73+BO75+BO77</f>
        <v>0</v>
      </c>
      <c r="BP78" s="84">
        <f>BP38+BP39+BP40+BP42+BP49+BP51+BP54+BP57+BP61+BP65+BP67+BP71+BP73+BP75+BP77</f>
        <v>0</v>
      </c>
      <c r="BQ78" s="84"/>
      <c r="BR78" s="85">
        <f>BR38+BR39+BR40+BR42+BR49+BR51+BR54+BR57+BR61+BR65+BR67+BR71+BR73+BR75+BR77</f>
        <v>1939.2000000000003</v>
      </c>
      <c r="BS78" s="84">
        <f>BS38+BS39+BS40+BS42+BS49+BS51+BS54+BS57+BS61+BS65+BS67+BS71+BS73+BS75+BS77</f>
        <v>3563.2</v>
      </c>
      <c r="BT78" s="85">
        <f>BT38+BT39+BT40+BT42+BT49+BT51+BT54+BT57+BT61+BT65+BT67+BT71+BT73+BT75+BT77</f>
        <v>23318.4</v>
      </c>
      <c r="BU78" s="84"/>
      <c r="BV78" s="84">
        <f>BV38+BV39+BV40+BV42+BV49+BV51+BV54+BV57+BV61+BV65+BV67+BV71+BV73+BV75+BV77</f>
        <v>0.5</v>
      </c>
      <c r="BW78" s="84"/>
      <c r="BX78" s="84">
        <f>BX38+BX39+BX40+BX42+BX49+BX51+BX54+BX57+BX61+BX65+BX67+BX71+BX73+BX75+BX77</f>
        <v>1516</v>
      </c>
      <c r="BY78" s="84">
        <f>BY38+BY39+BY40+BY42+BY49+BY51+BY54+BY57+BY61+BY65+BY67+BY71+BY73+BY75+BY77</f>
        <v>0</v>
      </c>
      <c r="BZ78" s="84">
        <f>BZ38+BZ39+BZ40+BZ42+BZ49+BZ51+BZ54+BZ57+BZ61+BZ65+BZ67+BZ71+BZ73+BZ75+BZ77</f>
        <v>0</v>
      </c>
      <c r="CA78" s="84">
        <f>CA38+CA39+CA40+CA42+CA49+CA51+CA54+CA57+CA61+CA65+CA67+CA71+CA73+CA75+CA77</f>
        <v>0</v>
      </c>
      <c r="CB78" s="84"/>
      <c r="CC78" s="84">
        <f>CC38+CC39+CC40+CC42+CC49+CC51+CC54+CC57+CC61+CC65+CC67+CC71+CC73+CC75+CC77</f>
        <v>382</v>
      </c>
      <c r="CD78" s="84">
        <f>CD38+CD39+CD40+CD42+CD49+CD51+CD54+CD57+CD61+CD65+CD67+CD71+CD73+CD75+CD77</f>
        <v>303.20000000000005</v>
      </c>
      <c r="CE78" s="85">
        <f>CE38+CE39+CE40+CE42+CE49+CE51+CE54+CE57+CE61+CE65+CE67+CE71+CE73+CE75+CE77</f>
        <v>2201.2</v>
      </c>
      <c r="CF78" s="84"/>
      <c r="CG78" s="84">
        <f>SUM(CG38:CG77)</f>
        <v>14.100000000000001</v>
      </c>
      <c r="CH78" s="84"/>
      <c r="CI78" s="84">
        <f>SUM(CI38:CI77)</f>
        <v>45175.2</v>
      </c>
      <c r="CJ78" s="84">
        <f>CJ38+CJ39+CJ40+CJ42+CJ49+CJ51+CJ54+CJ57+CJ61+CJ65+CJ67+CJ71+CJ73+CJ75+CJ77</f>
        <v>0</v>
      </c>
      <c r="CK78" s="84">
        <f>CK38+CK39+CK40+CK42+CK49+CK51+CK54+CK57+CK61+CK65+CK67+CK71+CK73+CK75+CK77</f>
        <v>0</v>
      </c>
      <c r="CL78" s="84">
        <f>CL38+CL39+CL40+CL42+CL49+CL51+CL54+CL57+CL61+CL65+CL67+CL71+CL73+CL75+CL77</f>
        <v>0</v>
      </c>
      <c r="CM78" s="84"/>
      <c r="CN78" s="84">
        <f>SUM(CN38:CN77)</f>
        <v>8565.2</v>
      </c>
      <c r="CO78" s="84">
        <f>SUM(CO38:CO77)</f>
        <v>9035.040000000003</v>
      </c>
      <c r="CP78" s="84">
        <f>SUM(CP38:CP77)</f>
        <v>62775.44</v>
      </c>
      <c r="CQ78" s="84"/>
      <c r="CR78" s="84">
        <f>SUM(CR38:CR77)</f>
        <v>3.25</v>
      </c>
      <c r="CS78" s="84"/>
      <c r="CT78" s="85">
        <f>SUM(CT38:CT77)</f>
        <v>10544</v>
      </c>
      <c r="CU78" s="84">
        <f>CU38+CU39+CU40+CU42+CU49+CU51+CU54+CU57+CU61+CU65+CU67+CU71+CU73+CU75+CU77</f>
        <v>0</v>
      </c>
      <c r="CV78" s="84">
        <f>CV38+CV39+CV40+CV42+CV49+CV51+CV54+CV57+CV61+CV65+CV67+CV71+CV73+CV75+CV77</f>
        <v>0</v>
      </c>
      <c r="CW78" s="84">
        <f>CW38+CW39+CW40+CW42+CW49+CW51+CW54+CW57+CW61+CW65+CW67+CW71+CW73+CW75+CW77</f>
        <v>0</v>
      </c>
      <c r="CX78" s="84"/>
      <c r="CY78" s="85">
        <f>SUM(CY49:CY77)</f>
        <v>2187.6</v>
      </c>
      <c r="CZ78" s="85">
        <f>SUM(CZ41:CZ77)</f>
        <v>2108.8</v>
      </c>
      <c r="DA78" s="85">
        <f>SUM(DA49:DA77)</f>
        <v>14840.400000000001</v>
      </c>
      <c r="DB78" s="84">
        <f>DB38+DB39+DB40+DB42+DB49+DB51+DB54+DB57+DB61+DB65+DB67+DB71+DB73+DB75+DB77</f>
        <v>69.85</v>
      </c>
      <c r="DC78" s="85">
        <f>DC38+DC39+DC40+DC42+DC49+DC51+DC54+DC57+DC61+DC65+DC67+DC71+DC73+DC75+DC77</f>
        <v>353027.8599999999</v>
      </c>
    </row>
    <row r="79" spans="1:107" s="93" customFormat="1" ht="56.25" customHeight="1">
      <c r="A79" s="88"/>
      <c r="B79" s="89" t="s">
        <v>59</v>
      </c>
      <c r="C79" s="88">
        <f>C8+C22+C37+C78</f>
        <v>196</v>
      </c>
      <c r="D79" s="88">
        <f>D8+D22+D37+D78</f>
        <v>201</v>
      </c>
      <c r="E79" s="88">
        <f>E8+E22+E37+E78</f>
        <v>2572</v>
      </c>
      <c r="F79" s="88">
        <f>F8+F22+F37+F78</f>
        <v>14</v>
      </c>
      <c r="G79" s="88"/>
      <c r="H79" s="88">
        <f aca="true" t="shared" si="82" ref="H79:M79">H8+H22+H37+H78</f>
        <v>23</v>
      </c>
      <c r="I79" s="88">
        <f t="shared" si="82"/>
        <v>0</v>
      </c>
      <c r="J79" s="88">
        <f t="shared" si="82"/>
        <v>97440</v>
      </c>
      <c r="K79" s="88">
        <f t="shared" si="82"/>
        <v>513.6</v>
      </c>
      <c r="L79" s="88">
        <f t="shared" si="82"/>
        <v>0</v>
      </c>
      <c r="M79" s="88">
        <f t="shared" si="82"/>
        <v>0</v>
      </c>
      <c r="N79" s="88"/>
      <c r="O79" s="90">
        <f>O8+O22+O37+O78</f>
        <v>27347.68</v>
      </c>
      <c r="P79" s="88">
        <f>P8+P22+P37+P78</f>
        <v>19590.72</v>
      </c>
      <c r="Q79" s="88">
        <f>Q8+Q22+Q37+Q78</f>
        <v>145956.8</v>
      </c>
      <c r="R79" s="88"/>
      <c r="S79" s="88">
        <f aca="true" t="shared" si="83" ref="S79:X79">S8+S22+S37+S78</f>
        <v>21.5</v>
      </c>
      <c r="T79" s="88">
        <f t="shared" si="83"/>
        <v>82171.2</v>
      </c>
      <c r="U79" s="91">
        <f t="shared" si="83"/>
        <v>92332.40000000002</v>
      </c>
      <c r="V79" s="91">
        <f t="shared" si="83"/>
        <v>1463.76</v>
      </c>
      <c r="W79" s="88">
        <f t="shared" si="83"/>
        <v>0</v>
      </c>
      <c r="X79" s="88">
        <f t="shared" si="83"/>
        <v>0</v>
      </c>
      <c r="Y79" s="88"/>
      <c r="Z79" s="91">
        <f>Z8+Z22+Z37+Z78</f>
        <v>25243.476000000002</v>
      </c>
      <c r="AA79" s="91">
        <f>AA8+AA22+AA37+AA78</f>
        <v>18759.232</v>
      </c>
      <c r="AB79" s="88">
        <f>AB8+AB22+AB37+AB78</f>
        <v>137798.868</v>
      </c>
      <c r="AC79" s="88">
        <v>9</v>
      </c>
      <c r="AD79" s="88">
        <f aca="true" t="shared" si="84" ref="AD79:AM79">AD8+AD22+AD37+AD78</f>
        <v>13.5</v>
      </c>
      <c r="AE79" s="88">
        <f t="shared" si="84"/>
        <v>11236.8</v>
      </c>
      <c r="AF79" s="88">
        <f t="shared" si="84"/>
        <v>44188.8</v>
      </c>
      <c r="AG79" s="88">
        <f t="shared" si="84"/>
        <v>363.20000000000005</v>
      </c>
      <c r="AH79" s="88">
        <f t="shared" si="84"/>
        <v>0</v>
      </c>
      <c r="AI79" s="88">
        <f t="shared" si="84"/>
        <v>0</v>
      </c>
      <c r="AJ79" s="88"/>
      <c r="AK79" s="88">
        <f t="shared" si="84"/>
        <v>6433.28</v>
      </c>
      <c r="AL79" s="88">
        <f t="shared" si="84"/>
        <v>8910.4</v>
      </c>
      <c r="AM79" s="91">
        <f t="shared" si="84"/>
        <v>59895.68</v>
      </c>
      <c r="AN79" s="88"/>
      <c r="AO79" s="88">
        <f>AO8+AO22+AO37+AO78</f>
        <v>11</v>
      </c>
      <c r="AP79" s="88"/>
      <c r="AQ79" s="88">
        <f aca="true" t="shared" si="85" ref="AQ79:AX79">AQ8+AQ22+AQ37+AQ78</f>
        <v>31840</v>
      </c>
      <c r="AR79" s="88">
        <f t="shared" si="85"/>
        <v>0</v>
      </c>
      <c r="AS79" s="88">
        <f t="shared" si="85"/>
        <v>0</v>
      </c>
      <c r="AT79" s="88">
        <f t="shared" si="85"/>
        <v>0</v>
      </c>
      <c r="AU79" s="88"/>
      <c r="AV79" s="88">
        <f t="shared" si="85"/>
        <v>4046.4</v>
      </c>
      <c r="AW79" s="88">
        <f t="shared" si="85"/>
        <v>15920</v>
      </c>
      <c r="AX79" s="88">
        <f t="shared" si="85"/>
        <v>51806.4</v>
      </c>
      <c r="AY79" s="88"/>
      <c r="AZ79" s="88">
        <f>AZ8+AZ22+AZ37+AZ78</f>
        <v>9.75</v>
      </c>
      <c r="BA79" s="88"/>
      <c r="BB79" s="91">
        <f>BB8+BB22+BB37+BB78</f>
        <v>31692</v>
      </c>
      <c r="BC79" s="91">
        <f>BC8+BC22+BC37+BC78</f>
        <v>363.20000000000005</v>
      </c>
      <c r="BD79" s="88">
        <f>BD8+BD22+BD37+BD78</f>
        <v>0</v>
      </c>
      <c r="BE79" s="88">
        <f>BE8+BE22+BE37+BE78</f>
        <v>0</v>
      </c>
      <c r="BF79" s="88"/>
      <c r="BG79" s="91">
        <f>BG8+BG22+BG37+BG78</f>
        <v>4028.5600000000004</v>
      </c>
      <c r="BH79" s="88">
        <f>BH8+BH22+BH37+BH78</f>
        <v>6411.04</v>
      </c>
      <c r="BI79" s="91">
        <f>BI8+BI22+BI37+BI78</f>
        <v>42494.8</v>
      </c>
      <c r="BJ79" s="88"/>
      <c r="BK79" s="88">
        <f>BK8+BK22+BK37+BK78</f>
        <v>9.25</v>
      </c>
      <c r="BL79" s="88"/>
      <c r="BM79" s="88">
        <f>BM8+BM22+BM37+BM78</f>
        <v>29636</v>
      </c>
      <c r="BN79" s="88">
        <f>BN8+BN22+BN37+BN78</f>
        <v>157.60000000000002</v>
      </c>
      <c r="BO79" s="88">
        <f>BO8+BO22+BO37+BO78</f>
        <v>0</v>
      </c>
      <c r="BP79" s="88">
        <f>BP8+BP22+BP37+BP78</f>
        <v>0</v>
      </c>
      <c r="BQ79" s="88"/>
      <c r="BR79" s="88">
        <f>BR8+BR22+BR37+BR78</f>
        <v>3168.4800000000005</v>
      </c>
      <c r="BS79" s="88">
        <f>BS8+BS22+BS37+BS78</f>
        <v>5958.72</v>
      </c>
      <c r="BT79" s="91">
        <f>BT8+BT22+BT37+BT78</f>
        <v>38920.8</v>
      </c>
      <c r="BU79" s="88"/>
      <c r="BV79" s="88">
        <f>BV8+BV22+BV37+BV78</f>
        <v>1</v>
      </c>
      <c r="BW79" s="88"/>
      <c r="BX79" s="92">
        <f>BX8+BX22+BX37+BX78</f>
        <v>3032</v>
      </c>
      <c r="BY79" s="88">
        <f>BY8+BY22+BY37+BY78</f>
        <v>0</v>
      </c>
      <c r="BZ79" s="88">
        <f>BZ8+BZ22+BZ37+BZ78</f>
        <v>0</v>
      </c>
      <c r="CA79" s="88">
        <f>CA8+CA22+CA37+CA78</f>
        <v>0</v>
      </c>
      <c r="CB79" s="88"/>
      <c r="CC79" s="88">
        <f>CC8+CC22+CC37+CC78</f>
        <v>606.4</v>
      </c>
      <c r="CD79" s="88">
        <f>CD8+CD22+CD37+CD78</f>
        <v>606.4000000000001</v>
      </c>
      <c r="CE79" s="91">
        <f>CE8+CE22+CE37+CE78</f>
        <v>4244.8</v>
      </c>
      <c r="CF79" s="88"/>
      <c r="CG79" s="88">
        <f>CG8+CG22+CG37+CG78</f>
        <v>24.1</v>
      </c>
      <c r="CH79" s="88"/>
      <c r="CI79" s="88">
        <f aca="true" t="shared" si="86" ref="CI79:CP79">CI8+CI22+CI37+CI78</f>
        <v>71951.2</v>
      </c>
      <c r="CJ79" s="88">
        <f t="shared" si="86"/>
        <v>0</v>
      </c>
      <c r="CK79" s="88">
        <f t="shared" si="86"/>
        <v>0</v>
      </c>
      <c r="CL79" s="88">
        <f t="shared" si="86"/>
        <v>0</v>
      </c>
      <c r="CM79" s="88"/>
      <c r="CN79" s="91">
        <f t="shared" si="86"/>
        <v>15289.2</v>
      </c>
      <c r="CO79" s="91">
        <f t="shared" si="86"/>
        <v>14390.240000000002</v>
      </c>
      <c r="CP79" s="91">
        <f t="shared" si="86"/>
        <v>101630.64</v>
      </c>
      <c r="CQ79" s="88"/>
      <c r="CR79" s="88">
        <f>CR8+CR22+CR37+CR78</f>
        <v>7</v>
      </c>
      <c r="CS79" s="88"/>
      <c r="CT79" s="88">
        <f aca="true" t="shared" si="87" ref="CT79:DC79">CT8+CT22+CT37+CT78</f>
        <v>21788</v>
      </c>
      <c r="CU79" s="88">
        <f t="shared" si="87"/>
        <v>0</v>
      </c>
      <c r="CV79" s="88">
        <f t="shared" si="87"/>
        <v>0</v>
      </c>
      <c r="CW79" s="88">
        <f t="shared" si="87"/>
        <v>0</v>
      </c>
      <c r="CX79" s="88">
        <f t="shared" si="87"/>
        <v>0</v>
      </c>
      <c r="CY79" s="91">
        <f t="shared" si="87"/>
        <v>4089.4</v>
      </c>
      <c r="CZ79" s="91">
        <f t="shared" si="87"/>
        <v>4357.6</v>
      </c>
      <c r="DA79" s="91">
        <f t="shared" si="87"/>
        <v>30235</v>
      </c>
      <c r="DB79" s="91">
        <f t="shared" si="87"/>
        <v>120.1</v>
      </c>
      <c r="DC79" s="91">
        <f t="shared" si="87"/>
        <v>621412.348</v>
      </c>
    </row>
    <row r="81" spans="1:107" ht="25.5">
      <c r="A81" s="164"/>
      <c r="B81" s="158" t="s">
        <v>0</v>
      </c>
      <c r="C81" s="158" t="s">
        <v>78</v>
      </c>
      <c r="D81" s="158" t="s">
        <v>79</v>
      </c>
      <c r="E81" s="158" t="s">
        <v>80</v>
      </c>
      <c r="F81" s="159" t="s">
        <v>81</v>
      </c>
      <c r="G81" s="158" t="s">
        <v>82</v>
      </c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 t="s">
        <v>88</v>
      </c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 t="s">
        <v>89</v>
      </c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 t="s">
        <v>90</v>
      </c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 t="s">
        <v>91</v>
      </c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 t="s">
        <v>92</v>
      </c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 t="s">
        <v>93</v>
      </c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 t="s">
        <v>98</v>
      </c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 t="s">
        <v>127</v>
      </c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 t="s">
        <v>94</v>
      </c>
      <c r="DC81" s="158"/>
    </row>
    <row r="82" spans="1:107" ht="41.25">
      <c r="A82" s="164"/>
      <c r="B82" s="158"/>
      <c r="C82" s="158"/>
      <c r="D82" s="158"/>
      <c r="E82" s="158"/>
      <c r="F82" s="159"/>
      <c r="G82" s="13" t="s">
        <v>96</v>
      </c>
      <c r="H82" s="13" t="s">
        <v>84</v>
      </c>
      <c r="I82" s="13" t="s">
        <v>85</v>
      </c>
      <c r="J82" s="13" t="s">
        <v>128</v>
      </c>
      <c r="K82" s="62">
        <v>0.1</v>
      </c>
      <c r="L82" s="13"/>
      <c r="M82" s="13" t="s">
        <v>130</v>
      </c>
      <c r="N82" s="13" t="s">
        <v>125</v>
      </c>
      <c r="O82" s="62" t="s">
        <v>126</v>
      </c>
      <c r="P82" s="62">
        <v>0.2</v>
      </c>
      <c r="Q82" s="13" t="s">
        <v>87</v>
      </c>
      <c r="R82" s="13" t="s">
        <v>96</v>
      </c>
      <c r="S82" s="13" t="s">
        <v>84</v>
      </c>
      <c r="T82" s="13" t="s">
        <v>85</v>
      </c>
      <c r="U82" s="13" t="s">
        <v>128</v>
      </c>
      <c r="V82" s="62">
        <v>0.1</v>
      </c>
      <c r="W82" s="13"/>
      <c r="X82" s="13"/>
      <c r="Y82" s="13" t="s">
        <v>125</v>
      </c>
      <c r="Z82" s="62" t="s">
        <v>126</v>
      </c>
      <c r="AA82" s="62">
        <v>0.2</v>
      </c>
      <c r="AB82" s="13" t="s">
        <v>87</v>
      </c>
      <c r="AC82" s="13" t="s">
        <v>96</v>
      </c>
      <c r="AD82" s="13" t="s">
        <v>84</v>
      </c>
      <c r="AE82" s="13" t="s">
        <v>85</v>
      </c>
      <c r="AF82" s="13" t="s">
        <v>128</v>
      </c>
      <c r="AG82" s="62">
        <v>0.1</v>
      </c>
      <c r="AH82" s="13"/>
      <c r="AI82" s="13"/>
      <c r="AJ82" s="13" t="s">
        <v>125</v>
      </c>
      <c r="AK82" s="62" t="s">
        <v>126</v>
      </c>
      <c r="AL82" s="62">
        <v>0.2</v>
      </c>
      <c r="AM82" s="13" t="s">
        <v>87</v>
      </c>
      <c r="AN82" s="13" t="s">
        <v>96</v>
      </c>
      <c r="AO82" s="13" t="s">
        <v>84</v>
      </c>
      <c r="AP82" s="13" t="s">
        <v>85</v>
      </c>
      <c r="AQ82" s="13" t="s">
        <v>128</v>
      </c>
      <c r="AR82" s="62"/>
      <c r="AS82" s="13"/>
      <c r="AT82" s="13"/>
      <c r="AU82" s="13"/>
      <c r="AV82" s="62" t="s">
        <v>132</v>
      </c>
      <c r="AW82" s="62">
        <v>0.5</v>
      </c>
      <c r="AX82" s="13" t="s">
        <v>87</v>
      </c>
      <c r="AY82" s="13" t="s">
        <v>96</v>
      </c>
      <c r="AZ82" s="13" t="s">
        <v>84</v>
      </c>
      <c r="BA82" s="13" t="s">
        <v>85</v>
      </c>
      <c r="BB82" s="13" t="s">
        <v>128</v>
      </c>
      <c r="BC82" s="62">
        <v>0.1</v>
      </c>
      <c r="BD82" s="13" t="s">
        <v>129</v>
      </c>
      <c r="BE82" s="13" t="s">
        <v>130</v>
      </c>
      <c r="BF82" s="13" t="s">
        <v>125</v>
      </c>
      <c r="BG82" s="62" t="s">
        <v>126</v>
      </c>
      <c r="BH82" s="62">
        <v>0.2</v>
      </c>
      <c r="BI82" s="13" t="s">
        <v>87</v>
      </c>
      <c r="BJ82" s="13" t="s">
        <v>96</v>
      </c>
      <c r="BK82" s="13" t="s">
        <v>84</v>
      </c>
      <c r="BL82" s="13" t="s">
        <v>85</v>
      </c>
      <c r="BM82" s="13" t="s">
        <v>128</v>
      </c>
      <c r="BN82" s="62">
        <v>0.1</v>
      </c>
      <c r="BO82" s="13" t="s">
        <v>129</v>
      </c>
      <c r="BP82" s="13" t="s">
        <v>130</v>
      </c>
      <c r="BQ82" s="13" t="s">
        <v>125</v>
      </c>
      <c r="BR82" s="62" t="s">
        <v>126</v>
      </c>
      <c r="BS82" s="62">
        <v>0.2</v>
      </c>
      <c r="BT82" s="13" t="s">
        <v>87</v>
      </c>
      <c r="BU82" s="13" t="s">
        <v>96</v>
      </c>
      <c r="BV82" s="13" t="s">
        <v>84</v>
      </c>
      <c r="BW82" s="13" t="s">
        <v>85</v>
      </c>
      <c r="BX82" s="13" t="s">
        <v>128</v>
      </c>
      <c r="BY82" s="62">
        <v>0.1</v>
      </c>
      <c r="BZ82" s="13" t="s">
        <v>129</v>
      </c>
      <c r="CA82" s="13" t="s">
        <v>130</v>
      </c>
      <c r="CB82" s="13" t="s">
        <v>125</v>
      </c>
      <c r="CC82" s="62" t="s">
        <v>126</v>
      </c>
      <c r="CD82" s="62">
        <v>0.2</v>
      </c>
      <c r="CE82" s="13" t="s">
        <v>87</v>
      </c>
      <c r="CF82" s="13" t="s">
        <v>96</v>
      </c>
      <c r="CG82" s="13" t="s">
        <v>84</v>
      </c>
      <c r="CH82" s="13" t="s">
        <v>85</v>
      </c>
      <c r="CI82" s="13" t="s">
        <v>128</v>
      </c>
      <c r="CJ82" s="62">
        <v>0.1</v>
      </c>
      <c r="CK82" s="13" t="s">
        <v>129</v>
      </c>
      <c r="CL82" s="13" t="s">
        <v>130</v>
      </c>
      <c r="CM82" s="13" t="s">
        <v>125</v>
      </c>
      <c r="CN82" s="62" t="s">
        <v>126</v>
      </c>
      <c r="CO82" s="62">
        <v>0.2</v>
      </c>
      <c r="CP82" s="13" t="s">
        <v>87</v>
      </c>
      <c r="CQ82" s="13" t="s">
        <v>96</v>
      </c>
      <c r="CR82" s="13" t="s">
        <v>84</v>
      </c>
      <c r="CS82" s="13" t="s">
        <v>85</v>
      </c>
      <c r="CT82" s="13" t="s">
        <v>128</v>
      </c>
      <c r="CU82" s="62">
        <v>0.1</v>
      </c>
      <c r="CV82" s="13" t="s">
        <v>129</v>
      </c>
      <c r="CW82" s="13" t="s">
        <v>130</v>
      </c>
      <c r="CX82" s="13" t="s">
        <v>125</v>
      </c>
      <c r="CY82" s="62" t="s">
        <v>126</v>
      </c>
      <c r="CZ82" s="62">
        <v>0.2</v>
      </c>
      <c r="DA82" s="13" t="s">
        <v>87</v>
      </c>
      <c r="DB82" s="13" t="s">
        <v>83</v>
      </c>
      <c r="DC82" s="13" t="s">
        <v>95</v>
      </c>
    </row>
    <row r="83" spans="1:107" ht="26.25">
      <c r="A83" s="8"/>
      <c r="B83" s="67" t="s">
        <v>133</v>
      </c>
      <c r="C83" s="8">
        <v>204</v>
      </c>
      <c r="D83" s="8">
        <v>212</v>
      </c>
      <c r="E83" s="8">
        <v>2931</v>
      </c>
      <c r="F83" s="9" t="s">
        <v>137</v>
      </c>
      <c r="G83" s="10"/>
      <c r="H83" s="8">
        <v>26</v>
      </c>
      <c r="I83" s="8"/>
      <c r="J83" s="8">
        <v>53739.3</v>
      </c>
      <c r="K83" s="8">
        <v>237.7</v>
      </c>
      <c r="L83" s="8"/>
      <c r="M83" s="8"/>
      <c r="N83" s="8"/>
      <c r="O83" s="8">
        <v>14863</v>
      </c>
      <c r="P83" s="8">
        <v>10708.14</v>
      </c>
      <c r="Q83" s="67">
        <v>79547.7</v>
      </c>
      <c r="R83" s="8"/>
      <c r="S83" s="8">
        <v>21</v>
      </c>
      <c r="T83" s="8">
        <v>17638</v>
      </c>
      <c r="U83" s="8">
        <v>42433.6</v>
      </c>
      <c r="V83" s="8">
        <v>677.4</v>
      </c>
      <c r="W83" s="8"/>
      <c r="X83" s="8"/>
      <c r="Y83" s="8"/>
      <c r="Z83" s="8">
        <v>11306.83</v>
      </c>
      <c r="AA83" s="8">
        <v>8622.2</v>
      </c>
      <c r="AB83" s="67">
        <v>53040.03</v>
      </c>
      <c r="AC83" s="8"/>
      <c r="AD83" s="8">
        <v>14.5</v>
      </c>
      <c r="AE83" s="8"/>
      <c r="AF83" s="8">
        <v>21277</v>
      </c>
      <c r="AG83" s="8">
        <v>404.05</v>
      </c>
      <c r="AH83" s="8"/>
      <c r="AI83" s="8"/>
      <c r="AJ83" s="8"/>
      <c r="AK83" s="8">
        <v>1993.24</v>
      </c>
      <c r="AL83" s="8">
        <v>4336.21</v>
      </c>
      <c r="AM83" s="67">
        <v>28010.5</v>
      </c>
      <c r="AN83" s="8"/>
      <c r="AO83" s="8">
        <v>9</v>
      </c>
      <c r="AP83" s="8"/>
      <c r="AQ83" s="8">
        <v>13059</v>
      </c>
      <c r="AV83" s="8">
        <v>1310.15</v>
      </c>
      <c r="AW83" s="8">
        <v>6529.5</v>
      </c>
      <c r="AX83" s="67">
        <v>20898.65</v>
      </c>
      <c r="AY83" s="8"/>
      <c r="AZ83" s="8">
        <v>10.5</v>
      </c>
      <c r="BA83" s="8"/>
      <c r="BB83" s="8">
        <v>15643.25</v>
      </c>
      <c r="BC83" s="8">
        <v>162.1</v>
      </c>
      <c r="BD83" s="8"/>
      <c r="BE83" s="8"/>
      <c r="BF83" s="8"/>
      <c r="BG83" s="8">
        <v>1167.16</v>
      </c>
      <c r="BH83" s="8">
        <v>3161.07</v>
      </c>
      <c r="BI83" s="67">
        <v>20133.58</v>
      </c>
      <c r="BJ83" s="8"/>
      <c r="BK83" s="8">
        <v>10</v>
      </c>
      <c r="BL83" s="8"/>
      <c r="BM83" s="8">
        <v>14842</v>
      </c>
      <c r="BN83" s="8">
        <v>83.9</v>
      </c>
      <c r="BO83" s="8"/>
      <c r="BP83" s="8"/>
      <c r="BQ83" s="8"/>
      <c r="BR83" s="8">
        <v>552.75</v>
      </c>
      <c r="BS83" s="8">
        <v>2985.18</v>
      </c>
      <c r="BT83" s="67">
        <v>18463.83</v>
      </c>
      <c r="BU83" s="8"/>
      <c r="BV83" s="8">
        <v>1.75</v>
      </c>
      <c r="BW83" s="8"/>
      <c r="BX83" s="8">
        <v>2611.25</v>
      </c>
      <c r="BY83" s="8"/>
      <c r="BZ83" s="8"/>
      <c r="CA83" s="8"/>
      <c r="CB83" s="8"/>
      <c r="CC83" s="8">
        <v>455.58</v>
      </c>
      <c r="CD83" s="8">
        <v>522.25</v>
      </c>
      <c r="CE83" s="67">
        <v>3589.08</v>
      </c>
      <c r="CF83" s="8"/>
      <c r="CG83" s="8">
        <v>19.25</v>
      </c>
      <c r="CH83" s="8"/>
      <c r="CI83" s="8">
        <v>29173</v>
      </c>
      <c r="CJ83" s="8"/>
      <c r="CK83" s="8"/>
      <c r="CL83" s="8"/>
      <c r="CM83" s="8"/>
      <c r="CN83" s="8">
        <v>6594.35</v>
      </c>
      <c r="CO83" s="8">
        <v>5694.8</v>
      </c>
      <c r="CP83" s="67">
        <v>41461.65</v>
      </c>
      <c r="CQ83" s="8"/>
      <c r="CR83" s="8">
        <v>11.75</v>
      </c>
      <c r="CS83" s="8"/>
      <c r="CT83" s="8">
        <v>17576</v>
      </c>
      <c r="CU83" s="8"/>
      <c r="CV83" s="8"/>
      <c r="CW83" s="8"/>
      <c r="CX83" s="8"/>
      <c r="CY83" s="8">
        <v>3415.56</v>
      </c>
      <c r="CZ83" s="8">
        <v>3515.28</v>
      </c>
      <c r="DA83" s="67">
        <v>24507.21</v>
      </c>
      <c r="DB83" s="8">
        <v>123.75</v>
      </c>
      <c r="DC83" s="67">
        <v>299652.22</v>
      </c>
    </row>
    <row r="84" spans="1:107" s="68" customFormat="1" ht="26.25">
      <c r="A84" s="67"/>
      <c r="B84" s="67" t="s">
        <v>140</v>
      </c>
      <c r="C84" s="67"/>
      <c r="D84" s="67"/>
      <c r="E84" s="67"/>
      <c r="F84" s="78"/>
      <c r="G84" s="72"/>
      <c r="H84" s="67"/>
      <c r="I84" s="67"/>
      <c r="J84" s="67">
        <f>J83*8</f>
        <v>429914.4</v>
      </c>
      <c r="K84" s="67">
        <f aca="true" t="shared" si="88" ref="K84:BU84">K83*8</f>
        <v>1901.6</v>
      </c>
      <c r="L84" s="67">
        <f t="shared" si="88"/>
        <v>0</v>
      </c>
      <c r="M84" s="67">
        <f t="shared" si="88"/>
        <v>0</v>
      </c>
      <c r="N84" s="67">
        <f t="shared" si="88"/>
        <v>0</v>
      </c>
      <c r="O84" s="67">
        <f t="shared" si="88"/>
        <v>118904</v>
      </c>
      <c r="P84" s="67">
        <f t="shared" si="88"/>
        <v>85665.12</v>
      </c>
      <c r="Q84" s="67">
        <f t="shared" si="88"/>
        <v>636381.6</v>
      </c>
      <c r="R84" s="67">
        <f t="shared" si="88"/>
        <v>0</v>
      </c>
      <c r="S84" s="67"/>
      <c r="T84" s="67">
        <f t="shared" si="88"/>
        <v>141104</v>
      </c>
      <c r="U84" s="67">
        <f t="shared" si="88"/>
        <v>339468.8</v>
      </c>
      <c r="V84" s="67">
        <f t="shared" si="88"/>
        <v>5419.2</v>
      </c>
      <c r="W84" s="67">
        <f t="shared" si="88"/>
        <v>0</v>
      </c>
      <c r="X84" s="67">
        <f t="shared" si="88"/>
        <v>0</v>
      </c>
      <c r="Y84" s="67">
        <f t="shared" si="88"/>
        <v>0</v>
      </c>
      <c r="Z84" s="67">
        <f t="shared" si="88"/>
        <v>90454.64</v>
      </c>
      <c r="AA84" s="67">
        <f t="shared" si="88"/>
        <v>68977.6</v>
      </c>
      <c r="AB84" s="67">
        <f t="shared" si="88"/>
        <v>424320.24</v>
      </c>
      <c r="AC84" s="67">
        <f t="shared" si="88"/>
        <v>0</v>
      </c>
      <c r="AD84" s="67"/>
      <c r="AE84" s="67">
        <f t="shared" si="88"/>
        <v>0</v>
      </c>
      <c r="AF84" s="67">
        <f t="shared" si="88"/>
        <v>170216</v>
      </c>
      <c r="AG84" s="67">
        <f t="shared" si="88"/>
        <v>3232.4</v>
      </c>
      <c r="AH84" s="67">
        <f t="shared" si="88"/>
        <v>0</v>
      </c>
      <c r="AI84" s="67">
        <f t="shared" si="88"/>
        <v>0</v>
      </c>
      <c r="AJ84" s="67">
        <f t="shared" si="88"/>
        <v>0</v>
      </c>
      <c r="AK84" s="67">
        <f t="shared" si="88"/>
        <v>15945.92</v>
      </c>
      <c r="AL84" s="67">
        <f t="shared" si="88"/>
        <v>34689.68</v>
      </c>
      <c r="AM84" s="67">
        <f t="shared" si="88"/>
        <v>224084</v>
      </c>
      <c r="AN84" s="67">
        <f t="shared" si="88"/>
        <v>0</v>
      </c>
      <c r="AO84" s="67"/>
      <c r="AP84" s="67">
        <f t="shared" si="88"/>
        <v>0</v>
      </c>
      <c r="AQ84" s="67">
        <f t="shared" si="88"/>
        <v>104472</v>
      </c>
      <c r="AR84" s="67">
        <f t="shared" si="88"/>
        <v>0</v>
      </c>
      <c r="AS84" s="67">
        <f t="shared" si="88"/>
        <v>0</v>
      </c>
      <c r="AT84" s="67">
        <f t="shared" si="88"/>
        <v>0</v>
      </c>
      <c r="AU84" s="67">
        <f t="shared" si="88"/>
        <v>0</v>
      </c>
      <c r="AV84" s="67">
        <f t="shared" si="88"/>
        <v>10481.2</v>
      </c>
      <c r="AW84" s="67">
        <f t="shared" si="88"/>
        <v>52236</v>
      </c>
      <c r="AX84" s="67">
        <f t="shared" si="88"/>
        <v>167189.2</v>
      </c>
      <c r="AY84" s="67">
        <f t="shared" si="88"/>
        <v>0</v>
      </c>
      <c r="AZ84" s="67"/>
      <c r="BA84" s="67">
        <f t="shared" si="88"/>
        <v>0</v>
      </c>
      <c r="BB84" s="67">
        <f t="shared" si="88"/>
        <v>125146</v>
      </c>
      <c r="BC84" s="67">
        <f t="shared" si="88"/>
        <v>1296.8</v>
      </c>
      <c r="BD84" s="67">
        <f t="shared" si="88"/>
        <v>0</v>
      </c>
      <c r="BE84" s="67">
        <f t="shared" si="88"/>
        <v>0</v>
      </c>
      <c r="BF84" s="67">
        <f t="shared" si="88"/>
        <v>0</v>
      </c>
      <c r="BG84" s="67">
        <f t="shared" si="88"/>
        <v>9337.28</v>
      </c>
      <c r="BH84" s="67">
        <f t="shared" si="88"/>
        <v>25288.56</v>
      </c>
      <c r="BI84" s="67">
        <f t="shared" si="88"/>
        <v>161068.64</v>
      </c>
      <c r="BJ84" s="67">
        <f t="shared" si="88"/>
        <v>0</v>
      </c>
      <c r="BK84" s="67"/>
      <c r="BL84" s="67">
        <f t="shared" si="88"/>
        <v>0</v>
      </c>
      <c r="BM84" s="67">
        <f t="shared" si="88"/>
        <v>118736</v>
      </c>
      <c r="BN84" s="67">
        <f t="shared" si="88"/>
        <v>671.2</v>
      </c>
      <c r="BO84" s="67">
        <f t="shared" si="88"/>
        <v>0</v>
      </c>
      <c r="BP84" s="67">
        <f t="shared" si="88"/>
        <v>0</v>
      </c>
      <c r="BQ84" s="67">
        <f t="shared" si="88"/>
        <v>0</v>
      </c>
      <c r="BR84" s="67">
        <f t="shared" si="88"/>
        <v>4422</v>
      </c>
      <c r="BS84" s="67">
        <f t="shared" si="88"/>
        <v>23881.44</v>
      </c>
      <c r="BT84" s="67">
        <f t="shared" si="88"/>
        <v>147710.64</v>
      </c>
      <c r="BU84" s="67">
        <f t="shared" si="88"/>
        <v>0</v>
      </c>
      <c r="BV84" s="67"/>
      <c r="BW84" s="67">
        <f aca="true" t="shared" si="89" ref="BW84:CP84">BW83*8</f>
        <v>0</v>
      </c>
      <c r="BX84" s="67">
        <f t="shared" si="89"/>
        <v>20890</v>
      </c>
      <c r="BY84" s="67">
        <f t="shared" si="89"/>
        <v>0</v>
      </c>
      <c r="BZ84" s="67">
        <f t="shared" si="89"/>
        <v>0</v>
      </c>
      <c r="CA84" s="67">
        <f t="shared" si="89"/>
        <v>0</v>
      </c>
      <c r="CB84" s="67">
        <f t="shared" si="89"/>
        <v>0</v>
      </c>
      <c r="CC84" s="67">
        <f t="shared" si="89"/>
        <v>3644.64</v>
      </c>
      <c r="CD84" s="67">
        <f t="shared" si="89"/>
        <v>4178</v>
      </c>
      <c r="CE84" s="67">
        <f t="shared" si="89"/>
        <v>28712.64</v>
      </c>
      <c r="CF84" s="67">
        <f t="shared" si="89"/>
        <v>0</v>
      </c>
      <c r="CG84" s="67"/>
      <c r="CH84" s="67">
        <f t="shared" si="89"/>
        <v>0</v>
      </c>
      <c r="CI84" s="67">
        <f t="shared" si="89"/>
        <v>233384</v>
      </c>
      <c r="CJ84" s="67">
        <f t="shared" si="89"/>
        <v>0</v>
      </c>
      <c r="CK84" s="67">
        <f t="shared" si="89"/>
        <v>0</v>
      </c>
      <c r="CL84" s="67">
        <f t="shared" si="89"/>
        <v>0</v>
      </c>
      <c r="CM84" s="67">
        <f t="shared" si="89"/>
        <v>0</v>
      </c>
      <c r="CN84" s="67">
        <f t="shared" si="89"/>
        <v>52754.8</v>
      </c>
      <c r="CO84" s="67">
        <f t="shared" si="89"/>
        <v>45558.4</v>
      </c>
      <c r="CP84" s="67">
        <f t="shared" si="89"/>
        <v>331693.2</v>
      </c>
      <c r="CQ84" s="67"/>
      <c r="CR84" s="67"/>
      <c r="CS84" s="67"/>
      <c r="CT84" s="67">
        <f aca="true" t="shared" si="90" ref="CT84:DA84">CT83*8</f>
        <v>140608</v>
      </c>
      <c r="CU84" s="67">
        <f t="shared" si="90"/>
        <v>0</v>
      </c>
      <c r="CV84" s="67">
        <f t="shared" si="90"/>
        <v>0</v>
      </c>
      <c r="CW84" s="67">
        <f t="shared" si="90"/>
        <v>0</v>
      </c>
      <c r="CX84" s="67">
        <f t="shared" si="90"/>
        <v>0</v>
      </c>
      <c r="CY84" s="67">
        <f t="shared" si="90"/>
        <v>27324.48</v>
      </c>
      <c r="CZ84" s="67">
        <f t="shared" si="90"/>
        <v>28122.24</v>
      </c>
      <c r="DA84" s="67">
        <f t="shared" si="90"/>
        <v>196057.68</v>
      </c>
      <c r="DB84" s="67"/>
      <c r="DC84" s="67">
        <f>DC83*11</f>
        <v>3296174.42</v>
      </c>
    </row>
    <row r="85" spans="1:107" ht="26.25">
      <c r="A85" s="8"/>
      <c r="B85" s="67" t="s">
        <v>138</v>
      </c>
      <c r="C85" s="8">
        <v>206</v>
      </c>
      <c r="D85" s="8">
        <v>215</v>
      </c>
      <c r="E85" s="8">
        <v>2944</v>
      </c>
      <c r="F85" s="9" t="s">
        <v>139</v>
      </c>
      <c r="G85" s="10"/>
      <c r="H85" s="8">
        <v>25</v>
      </c>
      <c r="I85" s="8"/>
      <c r="J85" s="8">
        <v>50985</v>
      </c>
      <c r="K85" s="8">
        <v>237.7</v>
      </c>
      <c r="L85" s="8"/>
      <c r="M85" s="8"/>
      <c r="N85" s="8"/>
      <c r="O85" s="8">
        <v>14012.2</v>
      </c>
      <c r="P85" s="8">
        <v>10244.54</v>
      </c>
      <c r="Q85" s="67">
        <v>75479.45</v>
      </c>
      <c r="R85" s="8"/>
      <c r="S85" s="8">
        <v>21.5</v>
      </c>
      <c r="T85" s="8">
        <v>17638.4</v>
      </c>
      <c r="U85" s="8">
        <v>43171.05</v>
      </c>
      <c r="V85" s="8">
        <v>677.4</v>
      </c>
      <c r="W85" s="8"/>
      <c r="X85" s="8"/>
      <c r="Y85" s="8"/>
      <c r="Z85" s="8">
        <v>12024.29</v>
      </c>
      <c r="AA85" s="8">
        <v>8769.7</v>
      </c>
      <c r="AB85" s="67">
        <v>64642.48</v>
      </c>
      <c r="AC85" s="8"/>
      <c r="AD85" s="8">
        <v>14.5</v>
      </c>
      <c r="AE85" s="8"/>
      <c r="AF85" s="8">
        <v>21791</v>
      </c>
      <c r="AG85" s="8">
        <v>147.4</v>
      </c>
      <c r="AH85" s="8"/>
      <c r="AI85" s="8"/>
      <c r="AJ85" s="8"/>
      <c r="AK85" s="8">
        <v>2291.94</v>
      </c>
      <c r="AL85" s="8">
        <v>4387.68</v>
      </c>
      <c r="AM85" s="67">
        <v>28618.02</v>
      </c>
      <c r="AN85" s="8"/>
      <c r="AO85" s="8">
        <v>9.5</v>
      </c>
      <c r="AP85" s="8"/>
      <c r="AQ85" s="8">
        <v>13796</v>
      </c>
      <c r="AV85" s="8">
        <v>1659.4</v>
      </c>
      <c r="AW85" s="8">
        <v>6898</v>
      </c>
      <c r="AX85" s="67">
        <v>22353.4</v>
      </c>
      <c r="AY85" s="8"/>
      <c r="AZ85" s="8">
        <v>10</v>
      </c>
      <c r="BA85" s="8"/>
      <c r="BB85" s="8">
        <v>15040.25</v>
      </c>
      <c r="BC85" s="8">
        <v>167.8</v>
      </c>
      <c r="BD85" s="8"/>
      <c r="BE85" s="8"/>
      <c r="BF85" s="8"/>
      <c r="BG85" s="8">
        <v>1267.37</v>
      </c>
      <c r="BH85" s="8">
        <v>3041.61</v>
      </c>
      <c r="BI85" s="67">
        <v>19517.03</v>
      </c>
      <c r="BJ85" s="8"/>
      <c r="BK85" s="8">
        <v>9.5</v>
      </c>
      <c r="BL85" s="8"/>
      <c r="BM85" s="8">
        <v>14137.75</v>
      </c>
      <c r="BN85" s="8"/>
      <c r="BO85" s="8"/>
      <c r="BP85" s="8"/>
      <c r="BQ85" s="8"/>
      <c r="BR85" s="8">
        <v>707.85</v>
      </c>
      <c r="BS85" s="8">
        <v>2827.55</v>
      </c>
      <c r="BT85" s="67">
        <v>17673.15</v>
      </c>
      <c r="BU85" s="8"/>
      <c r="BV85" s="8">
        <v>1.5</v>
      </c>
      <c r="BW85" s="8"/>
      <c r="BX85" s="8">
        <v>2293.75</v>
      </c>
      <c r="BY85" s="8"/>
      <c r="BZ85" s="8"/>
      <c r="CA85" s="8"/>
      <c r="CB85" s="8"/>
      <c r="CC85" s="8">
        <v>493.675</v>
      </c>
      <c r="CD85" s="8">
        <v>458.75</v>
      </c>
      <c r="CE85" s="67">
        <v>3246.18</v>
      </c>
      <c r="CF85" s="8"/>
      <c r="CG85" s="8">
        <v>20.75</v>
      </c>
      <c r="CH85" s="8"/>
      <c r="CI85" s="8">
        <v>30337</v>
      </c>
      <c r="CJ85" s="8"/>
      <c r="CK85" s="8"/>
      <c r="CL85" s="8"/>
      <c r="CM85" s="8"/>
      <c r="CN85" s="8">
        <v>6394.83</v>
      </c>
      <c r="CO85" s="8">
        <v>6222.55</v>
      </c>
      <c r="CP85" s="67">
        <v>44428.63</v>
      </c>
      <c r="CQ85" s="8"/>
      <c r="CR85" s="8">
        <v>10</v>
      </c>
      <c r="CS85" s="8"/>
      <c r="CT85" s="8">
        <v>14876.6</v>
      </c>
      <c r="CU85" s="8"/>
      <c r="CV85" s="8"/>
      <c r="CW85" s="8"/>
      <c r="CX85" s="8"/>
      <c r="CY85" s="8">
        <v>2984.04</v>
      </c>
      <c r="CZ85" s="8">
        <v>2975.33</v>
      </c>
      <c r="DA85" s="67">
        <v>20835.99</v>
      </c>
      <c r="DB85" s="8">
        <v>123.25</v>
      </c>
      <c r="DC85" s="67">
        <v>296794.31</v>
      </c>
    </row>
    <row r="86" spans="1:107" ht="26.25">
      <c r="A86" s="8"/>
      <c r="B86" s="8"/>
      <c r="C86" s="8"/>
      <c r="D86" s="8"/>
      <c r="E86" s="8"/>
      <c r="F86" s="9"/>
      <c r="G86" s="10"/>
      <c r="H86" s="8"/>
      <c r="I86" s="8"/>
      <c r="J86" s="8"/>
      <c r="K86" s="8"/>
      <c r="L86" s="8"/>
      <c r="M86" s="8"/>
      <c r="N86" s="8"/>
      <c r="O86" s="8"/>
      <c r="P86" s="8"/>
      <c r="Q86" s="67"/>
      <c r="R86" s="8"/>
      <c r="S86" s="8"/>
      <c r="T86" s="8"/>
      <c r="U86" s="8"/>
      <c r="V86" s="8"/>
      <c r="W86" s="8"/>
      <c r="X86" s="8"/>
      <c r="Y86" s="8"/>
      <c r="Z86" s="8"/>
      <c r="AA86" s="8"/>
      <c r="AB86" s="67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67"/>
      <c r="AN86" s="8"/>
      <c r="AO86" s="8"/>
      <c r="AP86" s="8"/>
      <c r="AQ86" s="8"/>
      <c r="AV86" s="8"/>
      <c r="AW86" s="8"/>
      <c r="AX86" s="67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67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67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67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67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67"/>
      <c r="DB86" s="8"/>
      <c r="DC86" s="67"/>
    </row>
    <row r="87" spans="1:107" ht="26.25">
      <c r="A87" s="8"/>
      <c r="B87" s="8"/>
      <c r="C87" s="8"/>
      <c r="D87" s="8"/>
      <c r="E87" s="8"/>
      <c r="F87" s="9"/>
      <c r="G87" s="10"/>
      <c r="H87" s="8"/>
      <c r="I87" s="8"/>
      <c r="J87" s="8"/>
      <c r="K87" s="8"/>
      <c r="L87" s="8"/>
      <c r="M87" s="8"/>
      <c r="N87" s="8"/>
      <c r="O87" s="8"/>
      <c r="P87" s="8"/>
      <c r="Q87" s="67"/>
      <c r="R87" s="8"/>
      <c r="S87" s="8"/>
      <c r="T87" s="8"/>
      <c r="U87" s="8"/>
      <c r="V87" s="8"/>
      <c r="W87" s="8"/>
      <c r="X87" s="8"/>
      <c r="Y87" s="8"/>
      <c r="Z87" s="8"/>
      <c r="AA87" s="8"/>
      <c r="AB87" s="67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67"/>
      <c r="AN87" s="8"/>
      <c r="AO87" s="8"/>
      <c r="AP87" s="8"/>
      <c r="AQ87" s="8"/>
      <c r="AV87" s="8"/>
      <c r="AW87" s="8"/>
      <c r="AX87" s="67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67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67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67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67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67"/>
      <c r="DB87" s="8"/>
      <c r="DC87" s="67"/>
    </row>
    <row r="88" spans="1:107" ht="26.25">
      <c r="A88" s="8"/>
      <c r="B88" s="8"/>
      <c r="C88" s="8"/>
      <c r="D88" s="8"/>
      <c r="E88" s="8"/>
      <c r="F88" s="9"/>
      <c r="G88" s="10"/>
      <c r="H88" s="8"/>
      <c r="I88" s="8"/>
      <c r="J88" s="8"/>
      <c r="K88" s="8"/>
      <c r="L88" s="8"/>
      <c r="M88" s="8"/>
      <c r="N88" s="8"/>
      <c r="O88" s="8"/>
      <c r="P88" s="8"/>
      <c r="Q88" s="67"/>
      <c r="R88" s="8"/>
      <c r="S88" s="8"/>
      <c r="T88" s="8"/>
      <c r="U88" s="8"/>
      <c r="V88" s="8"/>
      <c r="W88" s="8"/>
      <c r="X88" s="8"/>
      <c r="Y88" s="8"/>
      <c r="Z88" s="8"/>
      <c r="AA88" s="8"/>
      <c r="AB88" s="67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67"/>
      <c r="AN88" s="8"/>
      <c r="AO88" s="8"/>
      <c r="AP88" s="8"/>
      <c r="AQ88" s="8"/>
      <c r="AV88" s="8"/>
      <c r="AW88" s="8"/>
      <c r="AX88" s="67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67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67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67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67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67"/>
      <c r="DB88" s="8"/>
      <c r="DC88" s="67"/>
    </row>
    <row r="89" spans="1:107" ht="26.25">
      <c r="A89" s="8"/>
      <c r="B89" s="8"/>
      <c r="C89" s="8"/>
      <c r="D89" s="8"/>
      <c r="E89" s="8"/>
      <c r="F89" s="9"/>
      <c r="G89" s="10"/>
      <c r="H89" s="8"/>
      <c r="I89" s="8"/>
      <c r="J89" s="8"/>
      <c r="K89" s="8"/>
      <c r="L89" s="8"/>
      <c r="M89" s="8"/>
      <c r="N89" s="8"/>
      <c r="O89" s="8"/>
      <c r="P89" s="8"/>
      <c r="Q89" s="67"/>
      <c r="R89" s="8"/>
      <c r="S89" s="8"/>
      <c r="T89" s="8"/>
      <c r="U89" s="8"/>
      <c r="V89" s="8"/>
      <c r="W89" s="8"/>
      <c r="X89" s="8"/>
      <c r="Y89" s="8"/>
      <c r="Z89" s="8"/>
      <c r="AA89" s="8"/>
      <c r="AB89" s="67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67"/>
      <c r="AN89" s="8"/>
      <c r="AO89" s="8"/>
      <c r="AP89" s="8"/>
      <c r="AQ89" s="8"/>
      <c r="AV89" s="8"/>
      <c r="AW89" s="8"/>
      <c r="AX89" s="67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67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67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67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67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67"/>
      <c r="DB89" s="8"/>
      <c r="DC89" s="67"/>
    </row>
    <row r="90" spans="1:107" ht="26.25">
      <c r="A90" s="8"/>
      <c r="B90" s="8"/>
      <c r="C90" s="8"/>
      <c r="D90" s="8"/>
      <c r="E90" s="8"/>
      <c r="F90" s="9"/>
      <c r="G90" s="10"/>
      <c r="H90" s="8"/>
      <c r="I90" s="8"/>
      <c r="J90" s="8"/>
      <c r="K90" s="8"/>
      <c r="L90" s="8"/>
      <c r="M90" s="8"/>
      <c r="N90" s="8"/>
      <c r="O90" s="8"/>
      <c r="P90" s="8"/>
      <c r="Q90" s="67"/>
      <c r="R90" s="8"/>
      <c r="S90" s="8"/>
      <c r="T90" s="8"/>
      <c r="U90" s="8"/>
      <c r="V90" s="8"/>
      <c r="W90" s="8"/>
      <c r="X90" s="8"/>
      <c r="Y90" s="8"/>
      <c r="Z90" s="8"/>
      <c r="AA90" s="8"/>
      <c r="AB90" s="67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67"/>
      <c r="AN90" s="8"/>
      <c r="AO90" s="8"/>
      <c r="AP90" s="8"/>
      <c r="AQ90" s="8"/>
      <c r="AV90" s="8"/>
      <c r="AW90" s="8"/>
      <c r="AX90" s="67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67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67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67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67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67"/>
      <c r="DB90" s="8"/>
      <c r="DC90" s="67"/>
    </row>
    <row r="91" spans="1:107" ht="26.25">
      <c r="A91" s="8"/>
      <c r="B91" s="8"/>
      <c r="C91" s="8"/>
      <c r="D91" s="8"/>
      <c r="E91" s="8"/>
      <c r="F91" s="9"/>
      <c r="G91" s="10"/>
      <c r="H91" s="8"/>
      <c r="I91" s="8"/>
      <c r="J91" s="8"/>
      <c r="K91" s="8"/>
      <c r="L91" s="8"/>
      <c r="M91" s="8"/>
      <c r="N91" s="8"/>
      <c r="O91" s="8"/>
      <c r="P91" s="8"/>
      <c r="Q91" s="67"/>
      <c r="R91" s="8"/>
      <c r="S91" s="8"/>
      <c r="T91" s="8"/>
      <c r="U91" s="8"/>
      <c r="V91" s="8"/>
      <c r="W91" s="8"/>
      <c r="X91" s="8"/>
      <c r="Y91" s="8"/>
      <c r="Z91" s="8"/>
      <c r="AA91" s="8"/>
      <c r="AB91" s="67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67"/>
      <c r="AN91" s="8"/>
      <c r="AO91" s="8"/>
      <c r="AP91" s="8"/>
      <c r="AQ91" s="8"/>
      <c r="AV91" s="8"/>
      <c r="AW91" s="8"/>
      <c r="AX91" s="67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67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67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67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67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67"/>
      <c r="DB91" s="8"/>
      <c r="DC91" s="67"/>
    </row>
    <row r="92" spans="1:107" ht="26.25">
      <c r="A92" s="8"/>
      <c r="B92" s="8"/>
      <c r="C92" s="8"/>
      <c r="D92" s="8"/>
      <c r="E92" s="8"/>
      <c r="F92" s="9"/>
      <c r="G92" s="10"/>
      <c r="H92" s="8"/>
      <c r="I92" s="8"/>
      <c r="J92" s="8"/>
      <c r="K92" s="8"/>
      <c r="L92" s="8"/>
      <c r="M92" s="8"/>
      <c r="N92" s="8"/>
      <c r="O92" s="8"/>
      <c r="P92" s="8"/>
      <c r="Q92" s="67"/>
      <c r="R92" s="8"/>
      <c r="S92" s="8"/>
      <c r="T92" s="8"/>
      <c r="U92" s="8"/>
      <c r="V92" s="8"/>
      <c r="W92" s="8"/>
      <c r="X92" s="8"/>
      <c r="Y92" s="8"/>
      <c r="Z92" s="8"/>
      <c r="AA92" s="8"/>
      <c r="AB92" s="67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67"/>
      <c r="AN92" s="8"/>
      <c r="AO92" s="8"/>
      <c r="AP92" s="8"/>
      <c r="AQ92" s="8"/>
      <c r="AV92" s="8"/>
      <c r="AW92" s="8"/>
      <c r="AX92" s="67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67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67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67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67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67"/>
      <c r="DB92" s="8"/>
      <c r="DC92" s="67"/>
    </row>
    <row r="93" spans="1:107" ht="26.25">
      <c r="A93" s="8"/>
      <c r="B93" s="8"/>
      <c r="C93" s="8"/>
      <c r="D93" s="8"/>
      <c r="E93" s="8"/>
      <c r="F93" s="9"/>
      <c r="G93" s="10"/>
      <c r="H93" s="8"/>
      <c r="I93" s="8"/>
      <c r="J93" s="8"/>
      <c r="K93" s="8"/>
      <c r="L93" s="8"/>
      <c r="M93" s="8"/>
      <c r="N93" s="8"/>
      <c r="O93" s="8"/>
      <c r="P93" s="8"/>
      <c r="Q93" s="67"/>
      <c r="R93" s="8"/>
      <c r="S93" s="8"/>
      <c r="T93" s="8"/>
      <c r="U93" s="8"/>
      <c r="V93" s="8"/>
      <c r="W93" s="8"/>
      <c r="X93" s="8"/>
      <c r="Y93" s="8"/>
      <c r="Z93" s="8"/>
      <c r="AA93" s="8"/>
      <c r="AB93" s="67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67"/>
      <c r="AN93" s="8"/>
      <c r="AO93" s="8"/>
      <c r="AP93" s="8"/>
      <c r="AQ93" s="8"/>
      <c r="AV93" s="8"/>
      <c r="AW93" s="8"/>
      <c r="AX93" s="67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67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67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67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67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67"/>
      <c r="DB93" s="8"/>
      <c r="DC93" s="67"/>
    </row>
  </sheetData>
  <sheetProtection/>
  <mergeCells count="35">
    <mergeCell ref="BU81:CE81"/>
    <mergeCell ref="CF81:CP81"/>
    <mergeCell ref="CQ81:DA81"/>
    <mergeCell ref="DB81:DC81"/>
    <mergeCell ref="G81:Q81"/>
    <mergeCell ref="R81:AB81"/>
    <mergeCell ref="AC81:AM81"/>
    <mergeCell ref="AN81:AX81"/>
    <mergeCell ref="AY81:BI81"/>
    <mergeCell ref="BJ81:BT81"/>
    <mergeCell ref="A81:A82"/>
    <mergeCell ref="B81:B82"/>
    <mergeCell ref="C81:C82"/>
    <mergeCell ref="D81:D82"/>
    <mergeCell ref="E81:E82"/>
    <mergeCell ref="F81:F82"/>
    <mergeCell ref="A49:A50"/>
    <mergeCell ref="A42:A46"/>
    <mergeCell ref="AN5:AX5"/>
    <mergeCell ref="AY5:BI5"/>
    <mergeCell ref="AC5:AM5"/>
    <mergeCell ref="G5:Q5"/>
    <mergeCell ref="R5:AB5"/>
    <mergeCell ref="A5:A6"/>
    <mergeCell ref="B5:B6"/>
    <mergeCell ref="C5:C6"/>
    <mergeCell ref="B2:DC2"/>
    <mergeCell ref="DB5:DC5"/>
    <mergeCell ref="BU5:CE5"/>
    <mergeCell ref="CF5:CP5"/>
    <mergeCell ref="CQ5:DA5"/>
    <mergeCell ref="BJ5:BT5"/>
    <mergeCell ref="E5:E6"/>
    <mergeCell ref="F5:F6"/>
    <mergeCell ref="D5:D6"/>
  </mergeCells>
  <printOptions/>
  <pageMargins left="0.22" right="0.17" top="0.17" bottom="0.16" header="0.17" footer="0.5"/>
  <pageSetup horizontalDpi="600" verticalDpi="600" orientation="landscape" paperSize="9" scale="23" r:id="rId1"/>
  <colBreaks count="2" manualBreakCount="2">
    <brk id="39" max="69" man="1"/>
    <brk id="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Олексіївна</dc:creator>
  <cp:keywords/>
  <dc:description/>
  <cp:lastModifiedBy>людмила</cp:lastModifiedBy>
  <cp:lastPrinted>2017-11-07T07:28:18Z</cp:lastPrinted>
  <dcterms:created xsi:type="dcterms:W3CDTF">2008-09-24T08:03:59Z</dcterms:created>
  <dcterms:modified xsi:type="dcterms:W3CDTF">2017-11-28T10:19:56Z</dcterms:modified>
  <cp:category/>
  <cp:version/>
  <cp:contentType/>
  <cp:contentStatus/>
</cp:coreProperties>
</file>